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2000" windowHeight="10155" tabRatio="929" activeTab="4"/>
  </bookViews>
  <sheets>
    <sheet name="НАЧАЛО" sheetId="43" r:id="rId1"/>
    <sheet name="Разходи" sheetId="21" r:id="rId2"/>
    <sheet name="РБА" sheetId="36" r:id="rId3"/>
    <sheet name="НВ" sheetId="35" r:id="rId4"/>
    <sheet name="ТИП-ПРОИЗ" sheetId="24" r:id="rId5"/>
    <sheet name="ТИП-ПРЕНОС" sheetId="25" r:id="rId6"/>
    <sheet name="Коефициенти" sheetId="29" r:id="rId7"/>
    <sheet name="ИКП" sheetId="42" r:id="rId8"/>
    <sheet name="ВК§ППК" sheetId="44" r:id="rId9"/>
    <sheet name="Спецификация" sheetId="34" r:id="rId10"/>
  </sheets>
  <externalReferences>
    <externalReference r:id="rId11"/>
    <externalReference r:id="rId12"/>
  </externalReferences>
  <definedNames>
    <definedName name="_xlnm._FilterDatabase" localSheetId="5" hidden="1">'ТИП-ПРЕНОС'!$A$1:$F$66</definedName>
    <definedName name="_xlnm.Print_Area" localSheetId="8">ВК§ППК!$A$1:$L$41</definedName>
    <definedName name="_xlnm.Print_Area" localSheetId="7">ИКП!$A$1:$K$79</definedName>
    <definedName name="_xlnm.Print_Area" localSheetId="6">Коефициенти!$A$1:$F$60</definedName>
    <definedName name="_xlnm.Print_Area" localSheetId="3">НВ!$A$1:$G$56</definedName>
    <definedName name="_xlnm.Print_Area" localSheetId="1">Разходи!$A$1:$I$93</definedName>
    <definedName name="_xlnm.Print_Area" localSheetId="2">РБА!$A$1:$I$81</definedName>
    <definedName name="_xlnm.Print_Area" localSheetId="9">Спецификация!$A$1:$P$52</definedName>
    <definedName name="_xlnm.Print_Area" localSheetId="5">'ТИП-ПРЕНОС'!$A$1:$E$70</definedName>
    <definedName name="_xlnm.Print_Area" localSheetId="4">'ТИП-ПРОИЗ'!$A$1:$F$183</definedName>
    <definedName name="_xlnm.Print_Titles" localSheetId="9">Спецификация!$4:$5</definedName>
    <definedName name="_xlnm.Print_Titles" localSheetId="4">'ТИП-ПРОИЗ'!$1:$7</definedName>
    <definedName name="а65536">НВ!$1:$1048576</definedName>
    <definedName name="ь65536">ВК§ППК!$105:$105</definedName>
  </definedNames>
  <calcPr calcId="124519"/>
</workbook>
</file>

<file path=xl/calcChain.xml><?xml version="1.0" encoding="utf-8"?>
<calcChain xmlns="http://schemas.openxmlformats.org/spreadsheetml/2006/main">
  <c r="F33" i="24"/>
  <c r="F6"/>
  <c r="F24"/>
  <c r="E33"/>
  <c r="G19" i="35"/>
  <c r="F86" i="24"/>
  <c r="F64" l="1"/>
  <c r="F60" s="1"/>
  <c r="F63" l="1"/>
  <c r="F61"/>
  <c r="G18" i="21"/>
  <c r="G13"/>
  <c r="F70" i="24" l="1"/>
  <c r="D28" i="36"/>
  <c r="D46" s="1"/>
  <c r="G70" i="21"/>
  <c r="I70" s="1"/>
  <c r="G27"/>
  <c r="I36"/>
  <c r="I23"/>
  <c r="G7" i="36"/>
  <c r="G6" s="1"/>
  <c r="H7"/>
  <c r="H6" s="1"/>
  <c r="F29" i="24"/>
  <c r="D85" i="21"/>
  <c r="H18"/>
  <c r="I18" s="1"/>
  <c r="H13"/>
  <c r="E18"/>
  <c r="D18"/>
  <c r="F18" s="1"/>
  <c r="E13"/>
  <c r="D13"/>
  <c r="F39" i="29"/>
  <c r="F40" s="1"/>
  <c r="E39"/>
  <c r="E40" s="1"/>
  <c r="D16" i="44"/>
  <c r="C52" i="34"/>
  <c r="H52"/>
  <c r="B128" i="24"/>
  <c r="F129"/>
  <c r="E129"/>
  <c r="E57" i="25"/>
  <c r="D57"/>
  <c r="F131" i="24"/>
  <c r="E131"/>
  <c r="E32" i="44"/>
  <c r="F32"/>
  <c r="G32"/>
  <c r="H32"/>
  <c r="I32"/>
  <c r="J32"/>
  <c r="K32"/>
  <c r="L32"/>
  <c r="D32"/>
  <c r="D31"/>
  <c r="D34"/>
  <c r="D35" s="1"/>
  <c r="D15"/>
  <c r="F15" i="29"/>
  <c r="E15"/>
  <c r="E14"/>
  <c r="F32"/>
  <c r="E32"/>
  <c r="F34"/>
  <c r="G51"/>
  <c r="F46" i="42"/>
  <c r="G46"/>
  <c r="H46"/>
  <c r="E46"/>
  <c r="K34"/>
  <c r="J34"/>
  <c r="D37" i="34"/>
  <c r="D38"/>
  <c r="E40"/>
  <c r="F40"/>
  <c r="G40"/>
  <c r="H40"/>
  <c r="I40"/>
  <c r="J40"/>
  <c r="K40"/>
  <c r="L40"/>
  <c r="M40"/>
  <c r="N40"/>
  <c r="O40"/>
  <c r="P40"/>
  <c r="F35" i="42"/>
  <c r="G35"/>
  <c r="H35"/>
  <c r="E35"/>
  <c r="F34"/>
  <c r="G34"/>
  <c r="H34"/>
  <c r="E34"/>
  <c r="F47"/>
  <c r="G47"/>
  <c r="H47"/>
  <c r="E47"/>
  <c r="E23"/>
  <c r="F23"/>
  <c r="G23"/>
  <c r="H23"/>
  <c r="J23"/>
  <c r="K23"/>
  <c r="D45"/>
  <c r="D44"/>
  <c r="D43"/>
  <c r="D42"/>
  <c r="D41"/>
  <c r="D46" s="1"/>
  <c r="D38"/>
  <c r="D37"/>
  <c r="D47" s="1"/>
  <c r="D33"/>
  <c r="D32"/>
  <c r="D31"/>
  <c r="D30"/>
  <c r="D29"/>
  <c r="D34" s="1"/>
  <c r="D26"/>
  <c r="D25"/>
  <c r="D24"/>
  <c r="D22"/>
  <c r="D21"/>
  <c r="D20"/>
  <c r="D16"/>
  <c r="D17"/>
  <c r="D23" s="1"/>
  <c r="E68"/>
  <c r="F68"/>
  <c r="G68"/>
  <c r="H68"/>
  <c r="I68"/>
  <c r="J68"/>
  <c r="K68"/>
  <c r="D66"/>
  <c r="D65"/>
  <c r="D64"/>
  <c r="D63"/>
  <c r="D62"/>
  <c r="D67" s="1"/>
  <c r="H27"/>
  <c r="G27"/>
  <c r="F27"/>
  <c r="K27"/>
  <c r="H19"/>
  <c r="I25"/>
  <c r="I24"/>
  <c r="I22"/>
  <c r="I21"/>
  <c r="I20"/>
  <c r="I16"/>
  <c r="I27" s="1"/>
  <c r="G51" i="34"/>
  <c r="B51"/>
  <c r="H79" i="42"/>
  <c r="C79"/>
  <c r="G78"/>
  <c r="B78"/>
  <c r="C41" i="44"/>
  <c r="H41"/>
  <c r="F23" i="34"/>
  <c r="F22" s="1"/>
  <c r="G23"/>
  <c r="H23"/>
  <c r="I23"/>
  <c r="I24" s="1"/>
  <c r="J23"/>
  <c r="J22" s="1"/>
  <c r="K23"/>
  <c r="K22" s="1"/>
  <c r="L23"/>
  <c r="L22" s="1"/>
  <c r="M23"/>
  <c r="M24" s="1"/>
  <c r="N23"/>
  <c r="N22" s="1"/>
  <c r="O23"/>
  <c r="O22" s="1"/>
  <c r="P23"/>
  <c r="P22" s="1"/>
  <c r="E23"/>
  <c r="L24"/>
  <c r="F24"/>
  <c r="D26"/>
  <c r="D25"/>
  <c r="F28"/>
  <c r="F29" s="1"/>
  <c r="G28"/>
  <c r="G29" s="1"/>
  <c r="H28"/>
  <c r="H29" s="1"/>
  <c r="I28"/>
  <c r="I29" s="1"/>
  <c r="J28"/>
  <c r="J29" s="1"/>
  <c r="K28"/>
  <c r="K29" s="1"/>
  <c r="L28"/>
  <c r="L29" s="1"/>
  <c r="M28"/>
  <c r="M29" s="1"/>
  <c r="N28"/>
  <c r="N29" s="1"/>
  <c r="O28"/>
  <c r="O29" s="1"/>
  <c r="P28"/>
  <c r="P29" s="1"/>
  <c r="E28"/>
  <c r="A2"/>
  <c r="B2" i="44"/>
  <c r="B2" i="42"/>
  <c r="D58"/>
  <c r="D59" s="1"/>
  <c r="D68" s="1"/>
  <c r="D54"/>
  <c r="K57"/>
  <c r="J57"/>
  <c r="I57"/>
  <c r="H57"/>
  <c r="G57"/>
  <c r="F57"/>
  <c r="E57"/>
  <c r="D23" i="44"/>
  <c r="A20"/>
  <c r="D25"/>
  <c r="D26" s="1"/>
  <c r="D22"/>
  <c r="A6"/>
  <c r="G40"/>
  <c r="B40"/>
  <c r="D9"/>
  <c r="D10"/>
  <c r="D8"/>
  <c r="P19" i="34"/>
  <c r="O19"/>
  <c r="N19"/>
  <c r="M19"/>
  <c r="L19"/>
  <c r="K19"/>
  <c r="J19"/>
  <c r="I19"/>
  <c r="H19"/>
  <c r="G19"/>
  <c r="F19"/>
  <c r="E19"/>
  <c r="E33" i="25"/>
  <c r="E32" s="1"/>
  <c r="E37"/>
  <c r="E35" s="1"/>
  <c r="D37"/>
  <c r="D35" s="1"/>
  <c r="D66" i="36"/>
  <c r="F66" s="1"/>
  <c r="D65"/>
  <c r="F65" s="1"/>
  <c r="H72"/>
  <c r="I72" s="1"/>
  <c r="B56" i="24"/>
  <c r="B55"/>
  <c r="B39"/>
  <c r="B38"/>
  <c r="F56"/>
  <c r="E56"/>
  <c r="H62" i="21"/>
  <c r="H61"/>
  <c r="E18" i="25" s="1"/>
  <c r="E62" i="21"/>
  <c r="E61"/>
  <c r="D18" i="25" s="1"/>
  <c r="G65" i="21"/>
  <c r="I65" s="1"/>
  <c r="G66"/>
  <c r="I66" s="1"/>
  <c r="G67"/>
  <c r="I67" s="1"/>
  <c r="G68"/>
  <c r="I68" s="1"/>
  <c r="D65"/>
  <c r="F65"/>
  <c r="D66"/>
  <c r="F66" s="1"/>
  <c r="D67"/>
  <c r="F67" s="1"/>
  <c r="D68"/>
  <c r="F68" s="1"/>
  <c r="D64"/>
  <c r="F64" s="1"/>
  <c r="G74"/>
  <c r="E11" i="24"/>
  <c r="F55"/>
  <c r="G81" i="21" s="1"/>
  <c r="I81" s="1"/>
  <c r="E55" i="24"/>
  <c r="D81" i="21" s="1"/>
  <c r="F81" s="1"/>
  <c r="E38" i="24"/>
  <c r="E93" s="1"/>
  <c r="G71" i="21"/>
  <c r="I71" s="1"/>
  <c r="G72"/>
  <c r="I72" s="1"/>
  <c r="G73"/>
  <c r="I73" s="1"/>
  <c r="B74"/>
  <c r="D71"/>
  <c r="F71" s="1"/>
  <c r="D72"/>
  <c r="F72" s="1"/>
  <c r="D73"/>
  <c r="F73" s="1"/>
  <c r="D74"/>
  <c r="F74" s="1"/>
  <c r="D70"/>
  <c r="F70" s="1"/>
  <c r="E32" i="24"/>
  <c r="F49"/>
  <c r="F94"/>
  <c r="E49"/>
  <c r="E48" s="1"/>
  <c r="D33" i="25"/>
  <c r="D32" s="1"/>
  <c r="E10" i="24"/>
  <c r="E22" s="1"/>
  <c r="E29"/>
  <c r="F71"/>
  <c r="F72"/>
  <c r="F73"/>
  <c r="F74"/>
  <c r="E71"/>
  <c r="E72"/>
  <c r="E73"/>
  <c r="E74"/>
  <c r="E70"/>
  <c r="E69" s="1"/>
  <c r="E85" s="1"/>
  <c r="E64"/>
  <c r="E60" s="1"/>
  <c r="E61" s="1"/>
  <c r="E14"/>
  <c r="F14"/>
  <c r="A12" i="44"/>
  <c r="A28" s="1"/>
  <c r="F7" i="29"/>
  <c r="E24" i="24"/>
  <c r="K19" i="42"/>
  <c r="I19"/>
  <c r="J19"/>
  <c r="J27"/>
  <c r="F19"/>
  <c r="G19"/>
  <c r="E19"/>
  <c r="E27"/>
  <c r="D7"/>
  <c r="D9" s="1"/>
  <c r="D8"/>
  <c r="K10"/>
  <c r="J35"/>
  <c r="K35"/>
  <c r="E10"/>
  <c r="F10"/>
  <c r="G10"/>
  <c r="H10"/>
  <c r="I10"/>
  <c r="J10"/>
  <c r="E9" i="34"/>
  <c r="F9"/>
  <c r="G9"/>
  <c r="H9"/>
  <c r="I9"/>
  <c r="J9"/>
  <c r="K9"/>
  <c r="L9"/>
  <c r="M9"/>
  <c r="N9"/>
  <c r="O9"/>
  <c r="P9"/>
  <c r="D10"/>
  <c r="D11"/>
  <c r="E12"/>
  <c r="F12"/>
  <c r="G12"/>
  <c r="H12"/>
  <c r="I12"/>
  <c r="J12"/>
  <c r="K12"/>
  <c r="L12"/>
  <c r="M12"/>
  <c r="N12"/>
  <c r="O12"/>
  <c r="P12"/>
  <c r="D13"/>
  <c r="D14"/>
  <c r="E15"/>
  <c r="F15"/>
  <c r="G15"/>
  <c r="H15"/>
  <c r="I15"/>
  <c r="J15"/>
  <c r="K15"/>
  <c r="L15"/>
  <c r="M15"/>
  <c r="N15"/>
  <c r="O15"/>
  <c r="P15"/>
  <c r="D16"/>
  <c r="D17"/>
  <c r="D20"/>
  <c r="D21"/>
  <c r="D36"/>
  <c r="D40" s="1"/>
  <c r="D31"/>
  <c r="D32"/>
  <c r="D34"/>
  <c r="D39"/>
  <c r="E41"/>
  <c r="E43" s="1"/>
  <c r="F41"/>
  <c r="F43" s="1"/>
  <c r="F44" s="1"/>
  <c r="G41"/>
  <c r="H41"/>
  <c r="H43" s="1"/>
  <c r="H44" s="1"/>
  <c r="I41"/>
  <c r="I43"/>
  <c r="J41"/>
  <c r="J43" s="1"/>
  <c r="J44" s="1"/>
  <c r="K41"/>
  <c r="K43" s="1"/>
  <c r="K44" s="1"/>
  <c r="L41"/>
  <c r="M41"/>
  <c r="M43" s="1"/>
  <c r="M44" s="1"/>
  <c r="N41"/>
  <c r="N43"/>
  <c r="N44" s="1"/>
  <c r="O41"/>
  <c r="O43"/>
  <c r="O44" s="1"/>
  <c r="P41"/>
  <c r="D42"/>
  <c r="D45"/>
  <c r="D46"/>
  <c r="B4" i="29"/>
  <c r="E11"/>
  <c r="F14"/>
  <c r="E34"/>
  <c r="A59"/>
  <c r="D59"/>
  <c r="B60"/>
  <c r="E60"/>
  <c r="B3" i="25"/>
  <c r="D7"/>
  <c r="D12" s="1"/>
  <c r="E7"/>
  <c r="E12" s="1"/>
  <c r="D51"/>
  <c r="D50" s="1"/>
  <c r="E51"/>
  <c r="D54"/>
  <c r="E54"/>
  <c r="A66"/>
  <c r="B67"/>
  <c r="D67"/>
  <c r="B84" i="24"/>
  <c r="B90"/>
  <c r="E96"/>
  <c r="F96"/>
  <c r="E102"/>
  <c r="F102"/>
  <c r="A138"/>
  <c r="C138"/>
  <c r="B139"/>
  <c r="D139"/>
  <c r="E29" i="35"/>
  <c r="F29"/>
  <c r="G30"/>
  <c r="G31"/>
  <c r="G32"/>
  <c r="G29" s="1"/>
  <c r="G33"/>
  <c r="C34"/>
  <c r="F34"/>
  <c r="F28" s="1"/>
  <c r="G35"/>
  <c r="G36"/>
  <c r="G37"/>
  <c r="G38"/>
  <c r="G39"/>
  <c r="G40"/>
  <c r="G41"/>
  <c r="G42"/>
  <c r="G43"/>
  <c r="A52"/>
  <c r="E52"/>
  <c r="B54"/>
  <c r="F54"/>
  <c r="D7" i="36"/>
  <c r="D64" s="1"/>
  <c r="F64" s="1"/>
  <c r="E7"/>
  <c r="E6" s="1"/>
  <c r="D67" s="1"/>
  <c r="H25"/>
  <c r="H24"/>
  <c r="D44"/>
  <c r="E26"/>
  <c r="D45"/>
  <c r="G25"/>
  <c r="H70" s="1"/>
  <c r="I70" s="1"/>
  <c r="D29"/>
  <c r="D47" s="1"/>
  <c r="E30"/>
  <c r="E48" s="1"/>
  <c r="D31"/>
  <c r="D49"/>
  <c r="E31"/>
  <c r="E49" s="1"/>
  <c r="D32"/>
  <c r="D50" s="1"/>
  <c r="E32"/>
  <c r="E50" s="1"/>
  <c r="D33"/>
  <c r="D51" s="1"/>
  <c r="E33"/>
  <c r="E51" s="1"/>
  <c r="G43"/>
  <c r="G42" s="1"/>
  <c r="G53" s="1"/>
  <c r="H43"/>
  <c r="H42" s="1"/>
  <c r="E44"/>
  <c r="E45"/>
  <c r="E47"/>
  <c r="D68"/>
  <c r="F68" s="1"/>
  <c r="F70"/>
  <c r="F71"/>
  <c r="H71"/>
  <c r="F72"/>
  <c r="F73"/>
  <c r="F74"/>
  <c r="H74"/>
  <c r="I74" s="1"/>
  <c r="D75"/>
  <c r="F75" s="1"/>
  <c r="E75"/>
  <c r="E76" s="1"/>
  <c r="F14" i="21"/>
  <c r="I14"/>
  <c r="F15"/>
  <c r="I15"/>
  <c r="F17"/>
  <c r="I17"/>
  <c r="F19"/>
  <c r="F20"/>
  <c r="I20"/>
  <c r="F22"/>
  <c r="I22"/>
  <c r="F23"/>
  <c r="D24"/>
  <c r="E24"/>
  <c r="G24"/>
  <c r="I24" s="1"/>
  <c r="H24"/>
  <c r="F25"/>
  <c r="I25"/>
  <c r="F26"/>
  <c r="I26"/>
  <c r="D27"/>
  <c r="F27" s="1"/>
  <c r="E27"/>
  <c r="H27"/>
  <c r="H11" s="1"/>
  <c r="E17" i="25" s="1"/>
  <c r="E16" s="1"/>
  <c r="F28" i="21"/>
  <c r="I28"/>
  <c r="F29"/>
  <c r="I29"/>
  <c r="F30"/>
  <c r="I30"/>
  <c r="F31"/>
  <c r="I31"/>
  <c r="F32"/>
  <c r="I32"/>
  <c r="F33"/>
  <c r="I33"/>
  <c r="F34"/>
  <c r="I34"/>
  <c r="F35"/>
  <c r="I35"/>
  <c r="F36"/>
  <c r="F37"/>
  <c r="I37"/>
  <c r="F38"/>
  <c r="I38"/>
  <c r="F39"/>
  <c r="I39"/>
  <c r="F40"/>
  <c r="I40"/>
  <c r="F41"/>
  <c r="I41"/>
  <c r="F42"/>
  <c r="I42"/>
  <c r="F43"/>
  <c r="I43"/>
  <c r="F44"/>
  <c r="I44"/>
  <c r="F45"/>
  <c r="I45"/>
  <c r="F46"/>
  <c r="I46"/>
  <c r="F47"/>
  <c r="I47"/>
  <c r="F48"/>
  <c r="I48"/>
  <c r="F49"/>
  <c r="I49"/>
  <c r="F50"/>
  <c r="I50"/>
  <c r="F51"/>
  <c r="I51"/>
  <c r="F58"/>
  <c r="I58"/>
  <c r="F59"/>
  <c r="I59"/>
  <c r="F60"/>
  <c r="I60"/>
  <c r="B68"/>
  <c r="F75"/>
  <c r="I75"/>
  <c r="F76"/>
  <c r="I76"/>
  <c r="F77"/>
  <c r="I77"/>
  <c r="F78"/>
  <c r="I78"/>
  <c r="F85"/>
  <c r="I85"/>
  <c r="F27" i="35"/>
  <c r="D61" i="36"/>
  <c r="D6" i="25"/>
  <c r="D28" s="1"/>
  <c r="D5" i="21"/>
  <c r="F48" i="24"/>
  <c r="B8" i="44"/>
  <c r="B22" s="1"/>
  <c r="P43" i="34"/>
  <c r="P44"/>
  <c r="L43"/>
  <c r="L44"/>
  <c r="D30"/>
  <c r="E22"/>
  <c r="D39" i="42"/>
  <c r="G24" i="36"/>
  <c r="E7" i="29"/>
  <c r="I14" i="42"/>
  <c r="I22" i="34"/>
  <c r="D14" i="42"/>
  <c r="E24" i="34"/>
  <c r="A4"/>
  <c r="N4" s="1"/>
  <c r="G61" i="36"/>
  <c r="G27" i="35"/>
  <c r="I71" i="36"/>
  <c r="G65"/>
  <c r="I65" s="1"/>
  <c r="K24" i="34"/>
  <c r="H22"/>
  <c r="H24"/>
  <c r="G75" i="36"/>
  <c r="P24" i="34"/>
  <c r="E29"/>
  <c r="G66" i="36"/>
  <c r="I66" s="1"/>
  <c r="F24" i="21"/>
  <c r="E106" i="24"/>
  <c r="F13" i="21"/>
  <c r="D27" i="42"/>
  <c r="J24" i="34"/>
  <c r="D28"/>
  <c r="D15"/>
  <c r="N24"/>
  <c r="E44" i="25"/>
  <c r="E45" s="1"/>
  <c r="E23"/>
  <c r="E24" s="1"/>
  <c r="E42"/>
  <c r="E43"/>
  <c r="E21"/>
  <c r="E22"/>
  <c r="D23"/>
  <c r="D24" s="1"/>
  <c r="E125" i="24"/>
  <c r="D41" i="25" s="1"/>
  <c r="D22"/>
  <c r="D21"/>
  <c r="D44"/>
  <c r="D45" s="1"/>
  <c r="D43"/>
  <c r="D42"/>
  <c r="I44" i="34"/>
  <c r="D49" i="25"/>
  <c r="I19" i="21"/>
  <c r="G64"/>
  <c r="I64" s="1"/>
  <c r="F57" i="24"/>
  <c r="D4" i="42"/>
  <c r="F11" i="24"/>
  <c r="F32"/>
  <c r="F21" i="29" s="1"/>
  <c r="E34" i="35"/>
  <c r="G34"/>
  <c r="E31" i="24" l="1"/>
  <c r="E21" i="29"/>
  <c r="D69" i="21"/>
  <c r="F69" s="1"/>
  <c r="E57" i="24"/>
  <c r="F37" i="44" s="1"/>
  <c r="E63" i="24"/>
  <c r="G5" i="21"/>
  <c r="G4" i="34"/>
  <c r="D11" i="25"/>
  <c r="E9" i="24"/>
  <c r="E21" s="1"/>
  <c r="E20" s="1"/>
  <c r="D29" i="34"/>
  <c r="F9" i="24"/>
  <c r="F21" s="1"/>
  <c r="F46" s="1"/>
  <c r="E11" i="25"/>
  <c r="G35" i="36"/>
  <c r="D23" i="34"/>
  <c r="D22" s="1"/>
  <c r="H12" i="21"/>
  <c r="F10" i="24"/>
  <c r="M22" i="34"/>
  <c r="E50" i="25"/>
  <c r="D41" i="34"/>
  <c r="D12"/>
  <c r="D9"/>
  <c r="D19" i="42"/>
  <c r="G84" i="21"/>
  <c r="I84" s="1"/>
  <c r="D19" i="34"/>
  <c r="D57" i="42"/>
  <c r="O24" i="34"/>
  <c r="E11" i="21"/>
  <c r="E10" s="1"/>
  <c r="F69" i="24"/>
  <c r="F85" s="1"/>
  <c r="D10" i="42"/>
  <c r="G69" i="21"/>
  <c r="I69" s="1"/>
  <c r="D69" i="36"/>
  <c r="F67"/>
  <c r="D17" i="25"/>
  <c r="D16" s="1"/>
  <c r="E12" i="21"/>
  <c r="D35" i="42"/>
  <c r="E68" i="24"/>
  <c r="D63" i="21"/>
  <c r="L4" i="34"/>
  <c r="I4"/>
  <c r="J4"/>
  <c r="D11" i="21"/>
  <c r="D25" i="36"/>
  <c r="G64" s="1"/>
  <c r="I64" s="1"/>
  <c r="H10" i="21"/>
  <c r="E25" i="36"/>
  <c r="E24" s="1"/>
  <c r="I67" s="1"/>
  <c r="D84" i="21"/>
  <c r="F84" s="1"/>
  <c r="E44" i="34"/>
  <c r="D37" i="44"/>
  <c r="E37" s="1"/>
  <c r="H73" i="36"/>
  <c r="G24" i="34"/>
  <c r="D24" s="1"/>
  <c r="E6" i="25"/>
  <c r="G43" i="34"/>
  <c r="G44" s="1"/>
  <c r="D44" s="1"/>
  <c r="I74" i="21"/>
  <c r="G22" i="34"/>
  <c r="I17" i="42"/>
  <c r="I13" i="21"/>
  <c r="G28" i="35"/>
  <c r="D80" i="21"/>
  <c r="P4" i="34"/>
  <c r="D6" i="36"/>
  <c r="D17" s="1"/>
  <c r="E43"/>
  <c r="E42" s="1"/>
  <c r="K4" i="34"/>
  <c r="E9" i="21"/>
  <c r="I27"/>
  <c r="F38" i="24"/>
  <c r="F93" s="1"/>
  <c r="F31"/>
  <c r="G11" i="21"/>
  <c r="I11" s="1"/>
  <c r="G63"/>
  <c r="I63" s="1"/>
  <c r="C28" i="35"/>
  <c r="E61" i="25"/>
  <c r="D43" i="36"/>
  <c r="D42" s="1"/>
  <c r="D24"/>
  <c r="I79" i="21"/>
  <c r="I80"/>
  <c r="D15" i="25"/>
  <c r="D14" s="1"/>
  <c r="F18" i="24"/>
  <c r="D61" i="25"/>
  <c r="M4" i="34"/>
  <c r="F4"/>
  <c r="E4"/>
  <c r="O4"/>
  <c r="H4"/>
  <c r="D34" i="25"/>
  <c r="D40"/>
  <c r="F27" i="29"/>
  <c r="E18" i="24"/>
  <c r="E19"/>
  <c r="E47"/>
  <c r="E46" l="1"/>
  <c r="E8"/>
  <c r="F68"/>
  <c r="E8" i="21"/>
  <c r="F22" i="24"/>
  <c r="F125"/>
  <c r="E41" i="25" s="1"/>
  <c r="I34" i="42"/>
  <c r="I23"/>
  <c r="I35" s="1"/>
  <c r="E28" i="25"/>
  <c r="E49"/>
  <c r="G62" i="21"/>
  <c r="I62" s="1"/>
  <c r="D79"/>
  <c r="F79" s="1"/>
  <c r="F80"/>
  <c r="F11"/>
  <c r="D12"/>
  <c r="F12" s="1"/>
  <c r="D62"/>
  <c r="F63"/>
  <c r="D76" i="36"/>
  <c r="F69"/>
  <c r="H75"/>
  <c r="I73"/>
  <c r="D43" i="34"/>
  <c r="F108" i="24"/>
  <c r="F115" s="1"/>
  <c r="G12" i="21"/>
  <c r="I12" s="1"/>
  <c r="E28" i="35"/>
  <c r="E45" i="24"/>
  <c r="F17"/>
  <c r="E17"/>
  <c r="E58" l="1"/>
  <c r="E20" i="29"/>
  <c r="E27"/>
  <c r="E108" i="24" s="1"/>
  <c r="F47"/>
  <c r="F45" s="1"/>
  <c r="F19"/>
  <c r="E40" i="25"/>
  <c r="E34"/>
  <c r="I75" i="36"/>
  <c r="H76"/>
  <c r="F62" i="21"/>
  <c r="F76" i="36"/>
  <c r="D9" i="21"/>
  <c r="E40" i="24" l="1"/>
  <c r="E19" i="29"/>
  <c r="E41" i="24" s="1"/>
  <c r="E22" i="29"/>
  <c r="E115" i="24"/>
  <c r="F20" i="29"/>
  <c r="F58" i="24"/>
  <c r="H9" i="21"/>
  <c r="E15" i="25" s="1"/>
  <c r="E14" s="1"/>
  <c r="F9" i="21"/>
  <c r="E113" i="24"/>
  <c r="E48" i="29" l="1"/>
  <c r="E23"/>
  <c r="E24" s="1"/>
  <c r="E39" i="24"/>
  <c r="F19" i="29"/>
  <c r="F41" i="24" s="1"/>
  <c r="F40"/>
  <c r="F22" i="29"/>
  <c r="H8" i="21"/>
  <c r="E43" i="24" l="1"/>
  <c r="E42"/>
  <c r="E109"/>
  <c r="E107" s="1"/>
  <c r="E105" s="1"/>
  <c r="E110" s="1"/>
  <c r="D83" i="21"/>
  <c r="D82" s="1"/>
  <c r="E94" i="24"/>
  <c r="E50" i="29"/>
  <c r="E51" s="1"/>
  <c r="E53" s="1"/>
  <c r="E52" s="1"/>
  <c r="E54" s="1"/>
  <c r="E49"/>
  <c r="F39" i="24"/>
  <c r="G83" i="21" s="1"/>
  <c r="F48" i="29"/>
  <c r="F23"/>
  <c r="F24" s="1"/>
  <c r="F109" i="24" s="1"/>
  <c r="F107" s="1"/>
  <c r="D61" i="21" l="1"/>
  <c r="F82"/>
  <c r="E25" i="29"/>
  <c r="E26" s="1"/>
  <c r="E91" i="24"/>
  <c r="E92"/>
  <c r="E120"/>
  <c r="E118"/>
  <c r="E119" s="1"/>
  <c r="F50" i="29"/>
  <c r="F51" s="1"/>
  <c r="F53" s="1"/>
  <c r="F52" s="1"/>
  <c r="F54" s="1"/>
  <c r="F49"/>
  <c r="F43" i="24"/>
  <c r="F42"/>
  <c r="I83" i="21"/>
  <c r="G82"/>
  <c r="F61" l="1"/>
  <c r="D10"/>
  <c r="E116" i="24"/>
  <c r="E121"/>
  <c r="I82" i="21"/>
  <c r="G61"/>
  <c r="F91" i="24"/>
  <c r="F25" i="29"/>
  <c r="F26" s="1"/>
  <c r="F92" i="24"/>
  <c r="F10" i="21" l="1"/>
  <c r="E114" i="24"/>
  <c r="D8" i="21"/>
  <c r="I61"/>
  <c r="F116" i="24"/>
  <c r="G10" i="21"/>
  <c r="F8" l="1"/>
  <c r="E112" i="24"/>
  <c r="E111" s="1"/>
  <c r="E122"/>
  <c r="F114"/>
  <c r="I10" i="21"/>
  <c r="D60" i="25" l="1"/>
  <c r="E123" i="24"/>
  <c r="E124"/>
  <c r="D20" i="25" s="1"/>
  <c r="G16" i="36"/>
  <c r="G69"/>
  <c r="I68"/>
  <c r="D13" i="25" l="1"/>
  <c r="D19"/>
  <c r="G17" i="36"/>
  <c r="D34"/>
  <c r="D52" s="1"/>
  <c r="D53" s="1"/>
  <c r="I69"/>
  <c r="A59" s="1"/>
  <c r="F106" i="24"/>
  <c r="G76" i="36"/>
  <c r="D35" l="1"/>
  <c r="A20" s="1"/>
  <c r="G9" i="21"/>
  <c r="F113" i="24" s="1"/>
  <c r="I76" i="36"/>
  <c r="F105" i="24"/>
  <c r="A38" i="36" l="1"/>
  <c r="F110" i="24"/>
  <c r="G8" i="21"/>
  <c r="I9"/>
  <c r="I8" l="1"/>
  <c r="F120" i="24"/>
  <c r="F112"/>
  <c r="F111" s="1"/>
  <c r="F117" l="1"/>
  <c r="F118" s="1"/>
  <c r="F119" s="1"/>
  <c r="F121" s="1"/>
  <c r="F122" s="1"/>
  <c r="E60" i="25" l="1"/>
  <c r="F123" i="24"/>
  <c r="F124"/>
  <c r="E20" i="25" s="1"/>
  <c r="E19" l="1"/>
  <c r="E13"/>
</calcChain>
</file>

<file path=xl/sharedStrings.xml><?xml version="1.0" encoding="utf-8"?>
<sst xmlns="http://schemas.openxmlformats.org/spreadsheetml/2006/main" count="1520" uniqueCount="786">
  <si>
    <t>№</t>
  </si>
  <si>
    <t>НАИМЕНОВАНИЕ НА РАЗХОДА</t>
  </si>
  <si>
    <t>МЯРКА</t>
  </si>
  <si>
    <t>хил. лв</t>
  </si>
  <si>
    <t>Разходи за амортизации</t>
  </si>
  <si>
    <t>Дълготрайни материални активи-ДМА</t>
  </si>
  <si>
    <t>Оборотен капитал-ОК</t>
  </si>
  <si>
    <t>%</t>
  </si>
  <si>
    <t>ПРОМЕНЛИВИ РАЗХОДИ</t>
  </si>
  <si>
    <t>природен газ</t>
  </si>
  <si>
    <t>мазут</t>
  </si>
  <si>
    <t>въглища</t>
  </si>
  <si>
    <t>газьол</t>
  </si>
  <si>
    <t>Разходи за вода</t>
  </si>
  <si>
    <t>ДИМЕНСИЯ</t>
  </si>
  <si>
    <t>Е бр</t>
  </si>
  <si>
    <t>Е сн</t>
  </si>
  <si>
    <t>Е сн (ел)</t>
  </si>
  <si>
    <t>Е сн(т)</t>
  </si>
  <si>
    <t>Е нето</t>
  </si>
  <si>
    <t>гореща вода</t>
  </si>
  <si>
    <t>Впг</t>
  </si>
  <si>
    <t>Вм</t>
  </si>
  <si>
    <t>t</t>
  </si>
  <si>
    <t>Вг</t>
  </si>
  <si>
    <t>Вв</t>
  </si>
  <si>
    <t>Qпг</t>
  </si>
  <si>
    <t>Qм</t>
  </si>
  <si>
    <t>kcal/kg</t>
  </si>
  <si>
    <t>Qг</t>
  </si>
  <si>
    <t>Qв</t>
  </si>
  <si>
    <t>Цпг</t>
  </si>
  <si>
    <t>Цм</t>
  </si>
  <si>
    <t>Цг</t>
  </si>
  <si>
    <t>Цв</t>
  </si>
  <si>
    <t>g/kWh</t>
  </si>
  <si>
    <t xml:space="preserve">Коефициент на загубите на топлина </t>
  </si>
  <si>
    <t>№ по ред</t>
  </si>
  <si>
    <t>Отпусната топлина към преноса с гореща вода</t>
  </si>
  <si>
    <t>ВЪЗВРЪЩАЕМОСТ НА КАПИТАЛА</t>
  </si>
  <si>
    <t>Проверка</t>
  </si>
  <si>
    <t>Мярка</t>
  </si>
  <si>
    <t>ОЗНАЧЕНИЕ</t>
  </si>
  <si>
    <t>Произведена прегрята пара от парогенераторите</t>
  </si>
  <si>
    <t>Dпп</t>
  </si>
  <si>
    <t>Енталпия на прегрята пара</t>
  </si>
  <si>
    <t>kJ/kg</t>
  </si>
  <si>
    <t xml:space="preserve">Разход на питателната вода </t>
  </si>
  <si>
    <t>Dпв</t>
  </si>
  <si>
    <t>Средна температура на питателна вода</t>
  </si>
  <si>
    <t>tпв</t>
  </si>
  <si>
    <t>°С</t>
  </si>
  <si>
    <t>Енталпия на питателна вода</t>
  </si>
  <si>
    <t>hпв</t>
  </si>
  <si>
    <t>Разход на пара на изхода от РОУ</t>
  </si>
  <si>
    <t>Dроу</t>
  </si>
  <si>
    <t>Енталпия на пара на изхода от РОУ</t>
  </si>
  <si>
    <t>Разход на пара от промишлен парен котел</t>
  </si>
  <si>
    <t>Dпр.к</t>
  </si>
  <si>
    <t>Енталпия на пара от промишлен парен котел</t>
  </si>
  <si>
    <t>Разход на върнат кондензат от консуматорите</t>
  </si>
  <si>
    <t>Gвр.к</t>
  </si>
  <si>
    <t>Енталпия на върнат кондензат от консуматорите</t>
  </si>
  <si>
    <t>Gдв</t>
  </si>
  <si>
    <t>Енталпия на добавъчната вода</t>
  </si>
  <si>
    <t>Общ разход на мрежова вода в централата</t>
  </si>
  <si>
    <t>Gмр.в</t>
  </si>
  <si>
    <t>Общ разход на добавъчна вода към топлопр. мрежа</t>
  </si>
  <si>
    <t>Отпусната топлина с добавъчната вода (подпитката)</t>
  </si>
  <si>
    <t>ТЕ</t>
  </si>
  <si>
    <t>MWh</t>
  </si>
  <si>
    <t>Описание</t>
  </si>
  <si>
    <t>Собствен капитал</t>
  </si>
  <si>
    <t>хил. лв.</t>
  </si>
  <si>
    <t>Норма на възвръщаемост на собствения капитал</t>
  </si>
  <si>
    <t>Средно претеглена норма на възвръщаемост на привлечения капитал</t>
  </si>
  <si>
    <t>Данъчни задължения</t>
  </si>
  <si>
    <t>НОРМА НА ВЪЗВРЪЩАЕМОСТ</t>
  </si>
  <si>
    <t>КУПЕНА Електрическа енергия</t>
  </si>
  <si>
    <t>9 = 7 + 8</t>
  </si>
  <si>
    <t>6 = 4 + 5</t>
  </si>
  <si>
    <t>Dппо</t>
  </si>
  <si>
    <t>Количество на добавъчната вода (Обезсолена вода)</t>
  </si>
  <si>
    <t>1.1</t>
  </si>
  <si>
    <t>1.2</t>
  </si>
  <si>
    <t>ПРЕНОС</t>
  </si>
  <si>
    <t>-</t>
  </si>
  <si>
    <t>Цпр гв</t>
  </si>
  <si>
    <t>Приходи от присъединяване и услуги</t>
  </si>
  <si>
    <t xml:space="preserve"> - договори за финансов лизинг</t>
  </si>
  <si>
    <t xml:space="preserve"> - кредити</t>
  </si>
  <si>
    <t xml:space="preserve">Привлечен капитал, в т. ч. </t>
  </si>
  <si>
    <t>Дял на собствения капитал</t>
  </si>
  <si>
    <t>Дял на привлечения капитал</t>
  </si>
  <si>
    <t>хил.лв.</t>
  </si>
  <si>
    <t>Разходи, свързани с нерегулирана дейност</t>
  </si>
  <si>
    <t>хил.лв</t>
  </si>
  <si>
    <t>Призната мощност</t>
  </si>
  <si>
    <t>Забележка:</t>
  </si>
  <si>
    <t>Приходи от топлоносител</t>
  </si>
  <si>
    <t>Разходи за външни услуги</t>
  </si>
  <si>
    <t>1.3</t>
  </si>
  <si>
    <t>1.4</t>
  </si>
  <si>
    <t>ІІІ</t>
  </si>
  <si>
    <t>Горива за автотранспорт</t>
  </si>
  <si>
    <t>Работно облекло</t>
  </si>
  <si>
    <t>Канцеларски материали</t>
  </si>
  <si>
    <t>Материали за текущо поддържане</t>
  </si>
  <si>
    <t>Застраховки</t>
  </si>
  <si>
    <t>Данъци и такси</t>
  </si>
  <si>
    <t>Пощенски разходи, телефони и абонаменти</t>
  </si>
  <si>
    <t>Абонаментно поддържане</t>
  </si>
  <si>
    <t>Въоръжена и противопожарна охрана</t>
  </si>
  <si>
    <t>Наеми</t>
  </si>
  <si>
    <t>Проверка на уреди</t>
  </si>
  <si>
    <t>Съдебни разходи</t>
  </si>
  <si>
    <t>Експертни и одиторски разходи</t>
  </si>
  <si>
    <t>Такса събрано инкасо</t>
  </si>
  <si>
    <t>Вода, отопление и осветление</t>
  </si>
  <si>
    <t>Разходи за заплати и възнаграждения</t>
  </si>
  <si>
    <t>Безплатна предпазна храна съгласно нормативен акт</t>
  </si>
  <si>
    <t>Охрана на труда</t>
  </si>
  <si>
    <t>Служебни карти и пътувания</t>
  </si>
  <si>
    <t>Командировки</t>
  </si>
  <si>
    <t>Услуги  граждански договори</t>
  </si>
  <si>
    <t>Разходи за публикации</t>
  </si>
  <si>
    <t>Изпитания на съоръженията</t>
  </si>
  <si>
    <t>общи за двата продукта</t>
  </si>
  <si>
    <t>ЗАБЕЛЕЖКА:</t>
  </si>
  <si>
    <t>1. В УПР не се включват разходи, свързани с нерегулирана дейност.</t>
  </si>
  <si>
    <t>2. От УПР се изваждат приходите от присъединяване, услуги и топлоносител.</t>
  </si>
  <si>
    <t>Консумативи (химикали, реагенти)</t>
  </si>
  <si>
    <t>ПОЗИЦИЯ</t>
  </si>
  <si>
    <t>І</t>
  </si>
  <si>
    <t xml:space="preserve">1. </t>
  </si>
  <si>
    <t>Земи</t>
  </si>
  <si>
    <t>Сгради</t>
  </si>
  <si>
    <t>Машини, съоръжения и оборудване</t>
  </si>
  <si>
    <t>Транспортни средства</t>
  </si>
  <si>
    <t>Стопански инвентар</t>
  </si>
  <si>
    <t>Други дълготрайни материални активи</t>
  </si>
  <si>
    <t>ДМА- участвуващи в регулирането</t>
  </si>
  <si>
    <t>2.</t>
  </si>
  <si>
    <t>ІІ</t>
  </si>
  <si>
    <t>ІV</t>
  </si>
  <si>
    <t>V</t>
  </si>
  <si>
    <t>РЕГУЛАТОРНА БАЗА НА АКТИВИТЕ- РБА</t>
  </si>
  <si>
    <t>ОБОРОТЕН КАПИТАЛ-ОК</t>
  </si>
  <si>
    <t>Амортизация за периода на използване-АМ</t>
  </si>
  <si>
    <t>ПРИЗНАТА СТОЙНОСТ НА ДЪЛГОТРАЙНИТЕ АКТИВИ, ПРЯКО СВЪРЗАНИ С ДЕЙНОСТТА ПО ЛИЦЕНЗИЯТА, в т.ч :</t>
  </si>
  <si>
    <t>АКТИВИ-А</t>
  </si>
  <si>
    <t xml:space="preserve">НЕОБХОДИМИ ГОДИШНИ ПРИХОДИ </t>
  </si>
  <si>
    <t>ОБЩО</t>
  </si>
  <si>
    <t>Финансирания за дълготрайни активи-Ф</t>
  </si>
  <si>
    <t>електрическа енергия</t>
  </si>
  <si>
    <t>топлинна енергия</t>
  </si>
  <si>
    <t>НОРМА НА ВЪЗВРЪЩАЕМОСТ НА КАПИТАЛА</t>
  </si>
  <si>
    <t>Приходи от електрическа енергия</t>
  </si>
  <si>
    <t>Необходими годишни приходи за топлинна енергия</t>
  </si>
  <si>
    <t>Цпр,т</t>
  </si>
  <si>
    <t>ТЕХНИЧЕСКИ, ИКОНОМИЧЕСКИ И НАТУРАЛНИ ПОКАЗАТЕЛИ ПОКАЗАТЕЛИ</t>
  </si>
  <si>
    <t>Дименсия</t>
  </si>
  <si>
    <t>t/h</t>
  </si>
  <si>
    <t>Топлинна мощност</t>
  </si>
  <si>
    <t>MW</t>
  </si>
  <si>
    <t>ВК-1</t>
  </si>
  <si>
    <t>ВК-2</t>
  </si>
  <si>
    <t>ВК-3</t>
  </si>
  <si>
    <t>Цпр вп</t>
  </si>
  <si>
    <t>УСЛОВНО-ПОСТОЯННИ   РАЗХОДИ</t>
  </si>
  <si>
    <t>отнесени към електрическата енергия</t>
  </si>
  <si>
    <t xml:space="preserve"> отнесени към електрическата енергия</t>
  </si>
  <si>
    <t>Разходи за ремонт</t>
  </si>
  <si>
    <t>ПРИЗНАТИ ГОДИШНИ РАЗХОДИ ЗА ДЕЙНОСТТА ПО ЛИЦЕНЗИЯТА</t>
  </si>
  <si>
    <t>ДНА- участвуващи в регулирането</t>
  </si>
  <si>
    <t>Дълготрайни нематериални активи-ДНА</t>
  </si>
  <si>
    <t>РЕГУЛАТОРНА БАЗА НА АКТИВИТЕ ЗА ДРУЖЕСТВО</t>
  </si>
  <si>
    <t>III</t>
  </si>
  <si>
    <t>IV</t>
  </si>
  <si>
    <t>1.</t>
  </si>
  <si>
    <t>Технологични разходи на топлинна енергия по преноса</t>
  </si>
  <si>
    <t>потребители за стопански нужди</t>
  </si>
  <si>
    <t>Еднокомпонентна цена на топлинна енергия с водна пара</t>
  </si>
  <si>
    <t>Еднокомпонентна цена на топлинна енергия с гореща вода</t>
  </si>
  <si>
    <t>потребители за битови нужди</t>
  </si>
  <si>
    <t>битови нужди</t>
  </si>
  <si>
    <t>стопански нужди</t>
  </si>
  <si>
    <t>По разходи за топлинна енергия</t>
  </si>
  <si>
    <t>По приходи от топлинна енергия по еднокомпонентни цени</t>
  </si>
  <si>
    <t>Изчисляване на коефициенти за разпределяне на разходите:</t>
  </si>
  <si>
    <t>Произведена електрическа енергия</t>
  </si>
  <si>
    <t>Електрическа енергия за собствени нужди</t>
  </si>
  <si>
    <t>Топлинна енергия за собствени нужди</t>
  </si>
  <si>
    <t>за топлинна енергия</t>
  </si>
  <si>
    <t>Разходи за гориво за топлинна енергия с пара</t>
  </si>
  <si>
    <t>Разходи за гориво за топлинна енергия с гореща вода</t>
  </si>
  <si>
    <t>Производствена цена на  топлинната енергия с гореща вода</t>
  </si>
  <si>
    <t>Производствена цена на  топлинната енергия с водна пара</t>
  </si>
  <si>
    <t>Производствена цена на  топлинната енергия</t>
  </si>
  <si>
    <t>Преференциална цена на електрическата енергия</t>
  </si>
  <si>
    <t>Разходи за гориво за електрическа енергия</t>
  </si>
  <si>
    <t>Горивна компонента в стойността на електрическата енергия</t>
  </si>
  <si>
    <t>Разходи за гориво за топлинна енергия</t>
  </si>
  <si>
    <t>kg/MWh</t>
  </si>
  <si>
    <t>лв/MWh</t>
  </si>
  <si>
    <t>самостоятелни потребители в т.ч. за:</t>
  </si>
  <si>
    <t>Отопляем обем на имот на потребителите на т. енергия с г. вода, за:</t>
  </si>
  <si>
    <t>сгради етажна собственост в т.ч. за:</t>
  </si>
  <si>
    <t>ТЕХНИКО-ИКОНОМИЧЕСКИ ПОКАЗАТЕЛИ В ПРЕНОСА</t>
  </si>
  <si>
    <t>Произведена топлинна енергия от ЕНЕРГИИНИ ПГ- бруто</t>
  </si>
  <si>
    <t>Разход на пара от промишлен пароотбор на турбините</t>
  </si>
  <si>
    <t>Енталпия на пара от промишлен пароотбор на турбините</t>
  </si>
  <si>
    <t xml:space="preserve"> - в топлоизточника</t>
  </si>
  <si>
    <t xml:space="preserve"> - в преноса и разпределението</t>
  </si>
  <si>
    <t>ВК-4</t>
  </si>
  <si>
    <t>ВК-5</t>
  </si>
  <si>
    <t>ВК-6</t>
  </si>
  <si>
    <t>hпп</t>
  </si>
  <si>
    <t>hппо</t>
  </si>
  <si>
    <t>hроу</t>
  </si>
  <si>
    <t>hпр.к</t>
  </si>
  <si>
    <t>hвр.к</t>
  </si>
  <si>
    <t>hдв</t>
  </si>
  <si>
    <t>ТЕХНИКО-ИКОНОМИЧЕСКИ ПОКАЗАТЕЛИ В ПРОИЗВОДСТВОТО НА</t>
  </si>
  <si>
    <t>Qк,бр</t>
  </si>
  <si>
    <t>Q пр</t>
  </si>
  <si>
    <t>Q отп</t>
  </si>
  <si>
    <t>водна пара</t>
  </si>
  <si>
    <t>Коефициент на разходите за топлинна енергия</t>
  </si>
  <si>
    <t>Индивидуални разходи за единица електрическа енергия</t>
  </si>
  <si>
    <r>
      <t>М</t>
    </r>
    <r>
      <rPr>
        <vertAlign val="subscript"/>
        <sz val="10"/>
        <rFont val="Times New Roman"/>
        <family val="1"/>
        <charset val="204"/>
      </rPr>
      <t xml:space="preserve"> приз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</si>
  <si>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ВП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</si>
  <si>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ГВ</t>
    </r>
  </si>
  <si>
    <r>
      <t xml:space="preserve">Ц инд </t>
    </r>
    <r>
      <rPr>
        <vertAlign val="superscript"/>
        <sz val="10"/>
        <rFont val="Times New Roman"/>
        <family val="1"/>
        <charset val="204"/>
      </rPr>
      <t>ел</t>
    </r>
  </si>
  <si>
    <r>
      <t xml:space="preserve">НП.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</si>
  <si>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пр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</si>
  <si>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комб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</si>
  <si>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b/>
        <vertAlign val="subscript"/>
        <sz val="10"/>
        <rFont val="Times New Roman"/>
        <family val="1"/>
        <charset val="204"/>
      </rPr>
      <t xml:space="preserve"> преф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perscript"/>
        <sz val="10"/>
        <rFont val="Times New Roman"/>
        <family val="1"/>
        <charset val="204"/>
      </rPr>
      <t>ел</t>
    </r>
  </si>
  <si>
    <r>
      <t xml:space="preserve">Прих </t>
    </r>
    <r>
      <rPr>
        <vertAlign val="superscript"/>
        <sz val="10"/>
        <rFont val="Times New Roman"/>
        <family val="1"/>
        <charset val="204"/>
      </rPr>
      <t>ел</t>
    </r>
  </si>
  <si>
    <r>
      <t>НП.</t>
    </r>
    <r>
      <rPr>
        <vertAlign val="superscript"/>
        <sz val="10"/>
        <rFont val="Times New Roman"/>
        <family val="1"/>
        <charset val="204"/>
      </rPr>
      <t>т</t>
    </r>
  </si>
  <si>
    <t>ДВГ-1</t>
  </si>
  <si>
    <t>ДВГ-2</t>
  </si>
  <si>
    <t>ДВГ-3</t>
  </si>
  <si>
    <t>ДВГ-4</t>
  </si>
  <si>
    <t>ДВГ-5</t>
  </si>
  <si>
    <t>ДВГ-6</t>
  </si>
  <si>
    <t>MWq</t>
  </si>
  <si>
    <t>MWe</t>
  </si>
  <si>
    <t>Електрическа ефективност</t>
  </si>
  <si>
    <t>Топлинна ефективност</t>
  </si>
  <si>
    <t>Променливи Разходи за производство на Електрическа енергия</t>
  </si>
  <si>
    <t>Условно-Постоянни Разходи за производство на Електрическа енергия</t>
  </si>
  <si>
    <t>Признати Годишни Разходи за производство на Електрическа енергия</t>
  </si>
  <si>
    <t>ВЪЗВРЪЩАЕМОСТ НА КАПИТАЛА ЗА Електрическа енергия</t>
  </si>
  <si>
    <r>
      <t>РЕГУЛАТОРНА БАЗА НА АКТИВИТЕ ЗА ЕЛЕКТРОЕНЕРГИЯ- РБА</t>
    </r>
    <r>
      <rPr>
        <b/>
        <vertAlign val="superscript"/>
        <sz val="10"/>
        <rFont val="Times New Roman"/>
        <family val="1"/>
        <charset val="204"/>
      </rPr>
      <t>е</t>
    </r>
  </si>
  <si>
    <r>
      <t>РЕГУЛАТОРНА БАЗА НА АКТИВИТЕ ЗА ТОПЛИННА ЕНЕРГИЯ- РБА</t>
    </r>
    <r>
      <rPr>
        <b/>
        <vertAlign val="superscript"/>
        <sz val="10"/>
        <rFont val="Times New Roman"/>
        <family val="1"/>
        <charset val="204"/>
      </rPr>
      <t>т</t>
    </r>
  </si>
  <si>
    <t>ПРОИЗ.</t>
  </si>
  <si>
    <t>4.1.</t>
  </si>
  <si>
    <t>4.2.</t>
  </si>
  <si>
    <t>Изп. директор:</t>
  </si>
  <si>
    <t>Гл. счетоводител:</t>
  </si>
  <si>
    <t>Водогрейни котли (ВК)</t>
  </si>
  <si>
    <t>1.1.</t>
  </si>
  <si>
    <t>1.2.</t>
  </si>
  <si>
    <t>1.3.</t>
  </si>
  <si>
    <t>1.4.</t>
  </si>
  <si>
    <t>1.5.</t>
  </si>
  <si>
    <t>3.1.</t>
  </si>
  <si>
    <t>3.2.</t>
  </si>
  <si>
    <t>5.1.</t>
  </si>
  <si>
    <t>5.2.</t>
  </si>
  <si>
    <t>5.3.</t>
  </si>
  <si>
    <t>5.4.</t>
  </si>
  <si>
    <t>5.5.</t>
  </si>
  <si>
    <t>5.6.</t>
  </si>
  <si>
    <t>ГТ-1</t>
  </si>
  <si>
    <t>ГТ-2</t>
  </si>
  <si>
    <t>Електрическа ефективност на ГТ</t>
  </si>
  <si>
    <t>2.1.</t>
  </si>
  <si>
    <t>2.2.</t>
  </si>
  <si>
    <t>2.4.</t>
  </si>
  <si>
    <t>2.5.</t>
  </si>
  <si>
    <t>2.3.</t>
  </si>
  <si>
    <t xml:space="preserve">Договори </t>
  </si>
  <si>
    <t>N-………/…………..г.</t>
  </si>
  <si>
    <t>Изплатена главница (хил. лв)</t>
  </si>
  <si>
    <t xml:space="preserve"> - за финансов лизинг</t>
  </si>
  <si>
    <t xml:space="preserve"> - за кредити</t>
  </si>
  <si>
    <t xml:space="preserve">Привлечен капитал, в т.ч. </t>
  </si>
  <si>
    <t>ПРОИЗВОДСТВО</t>
  </si>
  <si>
    <t>осигурителни вноски</t>
  </si>
  <si>
    <t>социални разходи</t>
  </si>
  <si>
    <t>5.7.</t>
  </si>
  <si>
    <t>5.8.</t>
  </si>
  <si>
    <t>5.9.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</si>
  <si>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</si>
  <si>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</si>
  <si>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</si>
  <si>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</si>
  <si>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</si>
  <si>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</si>
  <si>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</si>
  <si>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</si>
  <si>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</si>
  <si>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</si>
  <si>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</si>
  <si>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</si>
  <si>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</si>
  <si>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</si>
  <si>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</si>
  <si>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5.10.</t>
  </si>
  <si>
    <t>5.26.</t>
  </si>
  <si>
    <t>5.27.</t>
  </si>
  <si>
    <t>5.28.</t>
  </si>
  <si>
    <t>5.29.</t>
  </si>
  <si>
    <t>5.30.</t>
  </si>
  <si>
    <t>Разходи за закупена енергия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</si>
  <si>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</si>
  <si>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Цена за некомбинирана електрическа енергия</t>
  </si>
  <si>
    <t>Добавка</t>
  </si>
  <si>
    <t>Топлинна мощност (паспорт)</t>
  </si>
  <si>
    <t>Разходи за лицензионни такси</t>
  </si>
  <si>
    <t>Номинален разход на пара КУ '</t>
  </si>
  <si>
    <t>Номинален разход на пара КУ "</t>
  </si>
  <si>
    <r>
      <t xml:space="preserve">b </t>
    </r>
    <r>
      <rPr>
        <vertAlign val="subscript"/>
        <sz val="10"/>
        <rFont val="Times New Roman"/>
        <family val="1"/>
        <charset val="204"/>
      </rPr>
      <t>ел</t>
    </r>
  </si>
  <si>
    <r>
      <t xml:space="preserve">b </t>
    </r>
    <r>
      <rPr>
        <vertAlign val="subscript"/>
        <sz val="10"/>
        <rFont val="Times New Roman"/>
        <family val="1"/>
        <charset val="204"/>
      </rPr>
      <t>т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</si>
  <si>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ел</t>
    </r>
  </si>
  <si>
    <t>1.1.1</t>
  </si>
  <si>
    <t>1.1.2</t>
  </si>
  <si>
    <t>1.1.3</t>
  </si>
  <si>
    <t>1.1.4</t>
  </si>
  <si>
    <r>
      <t xml:space="preserve">В </t>
    </r>
    <r>
      <rPr>
        <vertAlign val="subscript"/>
        <sz val="10"/>
        <rFont val="Times New Roman"/>
        <family val="1"/>
        <charset val="204"/>
      </rPr>
      <t>т</t>
    </r>
  </si>
  <si>
    <t>Приложение: Заверени копия на договорите за лизинг и кредит и анексите към тях.</t>
  </si>
  <si>
    <t>Цена на топлинна енергия с водна пара (от производство)</t>
  </si>
  <si>
    <t>Цена на топлинна енергия с водна пара (за пренос)</t>
  </si>
  <si>
    <t>Цена на топлинна енергия с гореща вода (от производство)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</si>
  <si>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ВОДНА ПАРА</t>
    </r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</si>
  <si>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ГОРЕЩА ВОДА</t>
    </r>
  </si>
  <si>
    <r>
      <t>(m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</si>
  <si>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t>Топлинна енергия за разпределение с водна пара</t>
  </si>
  <si>
    <t>Отпусната топлинна енергия към преноса с водна пара</t>
  </si>
  <si>
    <t>ОТЧЕТ</t>
  </si>
  <si>
    <t>ПРОГНОЗА</t>
  </si>
  <si>
    <t>НГП от топлинна енергия с водна пара</t>
  </si>
  <si>
    <t>kBGN</t>
  </si>
  <si>
    <t>Възвращаемост в преноса на  топлинна енергия с горща вода</t>
  </si>
  <si>
    <t>Пълни разходи в производство за топлинна енергия с горща вода</t>
  </si>
  <si>
    <t>УПР в преноса на  топлинна енергия с горща вода</t>
  </si>
  <si>
    <t>Пълни разходи в производство за топлинна енергия с водна пара</t>
  </si>
  <si>
    <t>Пълни разходи в преноса на топлинна енергия с водна пара</t>
  </si>
  <si>
    <t>Възвращаемост в преноса на  топлинна енергия с водна пара</t>
  </si>
  <si>
    <t>УПР в преноса на  топлинна енергия с водна пара</t>
  </si>
  <si>
    <t>Q пр, гв</t>
  </si>
  <si>
    <t>Q пр, вп</t>
  </si>
  <si>
    <t>Е комб.</t>
  </si>
  <si>
    <t>Произведена комбинирана електрическа енергия</t>
  </si>
  <si>
    <t xml:space="preserve">                                                           природен газ</t>
  </si>
  <si>
    <t>Ц гориво</t>
  </si>
  <si>
    <t>GJ</t>
  </si>
  <si>
    <t>МОДЕЛ</t>
  </si>
  <si>
    <t>за образуване цени на електрическа и/или топлинна енергия</t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</si>
  <si>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реализирана топлинна енергия</t>
    </r>
    <r>
      <rPr>
        <sz val="10"/>
        <rFont val="Times New Roman"/>
        <family val="1"/>
        <charset val="204"/>
      </rPr>
      <t>.</t>
    </r>
  </si>
  <si>
    <r>
      <t xml:space="preserve">Определяне на </t>
    </r>
    <r>
      <rPr>
        <b/>
        <u/>
        <sz val="10"/>
        <rFont val="Times New Roman"/>
        <family val="1"/>
        <charset val="204"/>
      </rPr>
      <t>технологичните разходи</t>
    </r>
    <r>
      <rPr>
        <sz val="10"/>
        <rFont val="Times New Roman"/>
        <family val="1"/>
        <charset val="204"/>
      </rPr>
      <t xml:space="preserve"> на ТЕ при </t>
    </r>
    <r>
      <rPr>
        <b/>
        <u/>
        <sz val="10"/>
        <rFont val="Times New Roman"/>
        <family val="1"/>
        <charset val="204"/>
      </rPr>
      <t>преноса</t>
    </r>
    <r>
      <rPr>
        <sz val="10"/>
        <rFont val="Times New Roman"/>
        <family val="1"/>
        <charset val="204"/>
      </rPr>
      <t xml:space="preserve"> на ТЕ.</t>
    </r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</si>
  <si>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топлинна енергия на изход централа</t>
    </r>
    <r>
      <rPr>
        <sz val="10"/>
        <rFont val="Times New Roman"/>
        <family val="1"/>
        <charset val="204"/>
      </rPr>
      <t xml:space="preserve">, </t>
    </r>
    <r>
      <rPr>
        <b/>
        <u/>
        <sz val="10"/>
        <rFont val="Times New Roman"/>
        <family val="1"/>
        <charset val="204"/>
      </rPr>
      <t>собствените нужди от ТЕ</t>
    </r>
    <r>
      <rPr>
        <sz val="10"/>
        <rFont val="Times New Roman"/>
        <family val="1"/>
        <charset val="204"/>
      </rPr>
      <t xml:space="preserve"> за производство на електрическа и/или топлинна енергия.</t>
    </r>
  </si>
  <si>
    <r>
      <rPr>
        <b/>
        <u/>
        <sz val="10"/>
        <rFont val="Times New Roman"/>
        <family val="1"/>
        <charset val="204"/>
      </rPr>
      <t>Избор на съоръжения за производство</t>
    </r>
    <r>
      <rPr>
        <sz val="10"/>
        <rFont val="Times New Roman"/>
        <family val="1"/>
        <charset val="204"/>
      </rPr>
      <t xml:space="preserve"> на  необходимата топлинна енергия и съответната </t>
    </r>
    <r>
      <rPr>
        <b/>
        <u/>
        <sz val="10"/>
        <rFont val="Times New Roman"/>
        <family val="1"/>
        <charset val="204"/>
      </rPr>
      <t>електрическа енергия</t>
    </r>
    <r>
      <rPr>
        <sz val="10"/>
        <rFont val="Times New Roman"/>
        <family val="1"/>
        <charset val="204"/>
      </rPr>
      <t xml:space="preserve">, както и </t>
    </r>
    <r>
      <rPr>
        <b/>
        <u/>
        <sz val="10"/>
        <rFont val="Times New Roman"/>
        <family val="1"/>
        <charset val="204"/>
      </rPr>
      <t xml:space="preserve">собствените нужди на ЕЕ </t>
    </r>
    <r>
      <rPr>
        <sz val="10"/>
        <rFont val="Times New Roman"/>
        <family val="1"/>
        <charset val="204"/>
      </rPr>
      <t>за производството на електрическата и/или топлинна енергия.</t>
    </r>
  </si>
  <si>
    <r>
      <t xml:space="preserve">Определяне на необходимите </t>
    </r>
    <r>
      <rPr>
        <b/>
        <u/>
        <sz val="10"/>
        <rFont val="Times New Roman"/>
        <family val="1"/>
        <charset val="204"/>
      </rPr>
      <t>количества горива</t>
    </r>
    <r>
      <rPr>
        <sz val="10"/>
        <rFont val="Times New Roman"/>
        <family val="1"/>
        <charset val="204"/>
      </rPr>
      <t xml:space="preserve"> (при съответната калоричност) за избраните съоръжения при съответната им ефективност.</t>
    </r>
  </si>
  <si>
    <r>
      <t xml:space="preserve">Проверка на прогнозната </t>
    </r>
    <r>
      <rPr>
        <b/>
        <u/>
        <sz val="10"/>
        <rFont val="Times New Roman"/>
        <family val="1"/>
        <charset val="204"/>
      </rPr>
      <t>общата ефективност</t>
    </r>
    <r>
      <rPr>
        <sz val="10"/>
        <rFont val="Times New Roman"/>
        <family val="1"/>
        <charset val="204"/>
      </rPr>
      <t xml:space="preserve"> и</t>
    </r>
    <r>
      <rPr>
        <b/>
        <u/>
        <sz val="10"/>
        <rFont val="Times New Roman"/>
        <family val="1"/>
        <charset val="204"/>
      </rPr>
      <t xml:space="preserve"> икономия на гориво</t>
    </r>
    <r>
      <rPr>
        <sz val="10"/>
        <rFont val="Times New Roman"/>
        <family val="1"/>
        <charset val="204"/>
      </rPr>
      <t xml:space="preserve"> спряма разделно производство на електрическа и топрлинна енергия..</t>
    </r>
  </si>
  <si>
    <r>
      <rPr>
        <b/>
        <u/>
        <sz val="10"/>
        <rFont val="Times New Roman"/>
        <family val="1"/>
        <charset val="204"/>
      </rPr>
      <t>Разпределение на реализираната електрическа енергия</t>
    </r>
    <r>
      <rPr>
        <sz val="10"/>
        <rFont val="Times New Roman"/>
        <family val="1"/>
        <charset val="204"/>
      </rPr>
      <t xml:space="preserve"> по видове и потребители.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</si>
  <si>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производство, така и за пренос.</t>
    </r>
  </si>
  <si>
    <r>
      <t>Формиране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електрическата и/или топлинна енергия (производство и пренос).</t>
    </r>
  </si>
  <si>
    <r>
      <t xml:space="preserve">Пресмятане на </t>
    </r>
    <r>
      <rPr>
        <b/>
        <u/>
        <sz val="10"/>
        <rFont val="Times New Roman"/>
        <family val="1"/>
        <charset val="204"/>
      </rPr>
      <t>НВ</t>
    </r>
    <r>
      <rPr>
        <sz val="10"/>
        <rFont val="Times New Roman"/>
        <family val="1"/>
        <charset val="204"/>
      </rPr>
      <t>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</si>
  <si>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Променливите разходи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(за инсталации за комбинирано производство и за инсталации за разделно производство).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</si>
  <si>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</si>
  <si>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пренос на топлинна енергия.</t>
    </r>
  </si>
  <si>
    <r>
      <t xml:space="preserve">Пресмятане </t>
    </r>
    <r>
      <rPr>
        <b/>
        <u/>
        <sz val="10"/>
        <color indexed="12"/>
        <rFont val="Times New Roman"/>
        <family val="1"/>
        <charset val="204"/>
      </rPr>
      <t>цената на електрическата енергия</t>
    </r>
    <r>
      <rPr>
        <sz val="10"/>
        <rFont val="Times New Roman"/>
        <family val="1"/>
        <charset val="204"/>
      </rPr>
      <t xml:space="preserve"> и определяне на </t>
    </r>
    <r>
      <rPr>
        <b/>
        <u/>
        <sz val="10"/>
        <color indexed="12"/>
        <rFont val="Times New Roman"/>
        <family val="1"/>
        <charset val="204"/>
      </rPr>
      <t>преференциална цена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(определяне на </t>
    </r>
    <r>
      <rPr>
        <b/>
        <u/>
        <sz val="10"/>
        <color indexed="12"/>
        <rFont val="Times New Roman"/>
        <family val="1"/>
        <charset val="204"/>
      </rPr>
      <t>добавката</t>
    </r>
    <r>
      <rPr>
        <sz val="10"/>
        <rFont val="Times New Roman"/>
        <family val="1"/>
        <charset val="204"/>
      </rPr>
      <t>).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</si>
  <si>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 от производството</t>
    </r>
    <r>
      <rPr>
        <sz val="10"/>
        <rFont val="Times New Roman"/>
        <family val="1"/>
        <charset val="204"/>
      </rPr>
      <t>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</si>
  <si>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за пренос</t>
    </r>
    <r>
      <rPr>
        <sz val="10"/>
        <rFont val="Times New Roman"/>
        <family val="1"/>
        <charset val="204"/>
      </rPr>
      <t xml:space="preserve"> на топлинната енергия по топлопреносната мрежа.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</si>
  <si>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</t>
    </r>
    <r>
      <rPr>
        <sz val="10"/>
        <rFont val="Times New Roman"/>
        <family val="1"/>
        <charset val="204"/>
      </rPr>
      <t xml:space="preserve"> за реализация.</t>
    </r>
  </si>
  <si>
    <t>друг вид гориво (ВЕИ)</t>
  </si>
  <si>
    <t>Qвеи</t>
  </si>
  <si>
    <t>Цвеи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</si>
  <si>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</si>
  <si>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r>
      <t>kcal/knm</t>
    </r>
    <r>
      <rPr>
        <vertAlign val="superscript"/>
        <sz val="10"/>
        <rFont val="Times New Roman"/>
        <family val="1"/>
        <charset val="204"/>
      </rPr>
      <t>3</t>
    </r>
  </si>
  <si>
    <r>
      <t>t</t>
    </r>
    <r>
      <rPr>
        <vertAlign val="subscript"/>
        <sz val="10"/>
        <rFont val="Times New Roman"/>
        <family val="1"/>
        <charset val="204"/>
      </rPr>
      <t xml:space="preserve"> c.f.</t>
    </r>
  </si>
  <si>
    <t>BGN/MWh</t>
  </si>
  <si>
    <r>
      <t>BGN/knm</t>
    </r>
    <r>
      <rPr>
        <vertAlign val="superscript"/>
        <sz val="10"/>
        <rFont val="Times New Roman"/>
        <family val="1"/>
        <charset val="204"/>
      </rPr>
      <t>3</t>
    </r>
  </si>
  <si>
    <t>BGN/t</t>
  </si>
  <si>
    <t>Топлинна ефективност (паспорт)</t>
  </si>
  <si>
    <t>BGN</t>
  </si>
  <si>
    <t>Дим.</t>
  </si>
  <si>
    <t>ВК-7</t>
  </si>
  <si>
    <t>ИНСТАЛИРАНИ ВОДОГРЕЙНИ КОТЛИ (ВК) В ЕКСПЛОАТАЦИЯ</t>
  </si>
  <si>
    <t xml:space="preserve">Топлинна енергия за разпределение - с гореща вода: </t>
  </si>
  <si>
    <t>КОМБИНИРАНО</t>
  </si>
  <si>
    <t>РАЗДЕЛНО (ВК&amp;ППК)</t>
  </si>
  <si>
    <t>РАЗХОДИ ЗА ПРОИЗВОДСТВО НА</t>
  </si>
  <si>
    <t>Параметри</t>
  </si>
  <si>
    <t>ОБЩА ефективност</t>
  </si>
  <si>
    <t>Условно Гориво за производство на Топлинната енергия</t>
  </si>
  <si>
    <t>Условно Гориво за производство на Електрическата енергия</t>
  </si>
  <si>
    <t xml:space="preserve">                                                  електрическа енергия</t>
  </si>
  <si>
    <t xml:space="preserve">Електрическа енергия за собствени нужди на централата, за производство на: </t>
  </si>
  <si>
    <t>ГОДИШНО</t>
  </si>
  <si>
    <t>общо</t>
  </si>
  <si>
    <t>с гореща вода</t>
  </si>
  <si>
    <t>с водна пара</t>
  </si>
  <si>
    <t>Q сн</t>
  </si>
  <si>
    <t>Q произведена от ВК</t>
  </si>
  <si>
    <t>Q произведена от ППК</t>
  </si>
  <si>
    <r>
      <t xml:space="preserve">t </t>
    </r>
    <r>
      <rPr>
        <vertAlign val="subscript"/>
        <sz val="10"/>
        <rFont val="Times New Roman"/>
        <family val="1"/>
        <charset val="204"/>
      </rPr>
      <t>cf</t>
    </r>
  </si>
  <si>
    <t>условно гориво</t>
  </si>
  <si>
    <t>друго (ВЕИ)</t>
  </si>
  <si>
    <r>
      <t>t 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</si>
  <si>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Е реализация</t>
  </si>
  <si>
    <t>на НЕК</t>
  </si>
  <si>
    <t>на ЕРД</t>
  </si>
  <si>
    <t>на други</t>
  </si>
  <si>
    <t>Е продажба</t>
  </si>
  <si>
    <t>Икономия на първичен енергиен ресурс (гориво) спрямо раздено производство</t>
  </si>
  <si>
    <t>Произведена комбинирана електрическа енергия от ВЕКП</t>
  </si>
  <si>
    <t>Е векп</t>
  </si>
  <si>
    <t>КПД пг</t>
  </si>
  <si>
    <r>
      <t xml:space="preserve">η </t>
    </r>
    <r>
      <rPr>
        <vertAlign val="subscript"/>
        <sz val="10"/>
        <rFont val="Times New Roman"/>
        <family val="1"/>
        <charset val="204"/>
      </rPr>
      <t>пг</t>
    </r>
  </si>
  <si>
    <r>
      <t>m</t>
    </r>
    <r>
      <rPr>
        <vertAlign val="superscript"/>
        <sz val="8"/>
        <rFont val="Times New Roman"/>
        <family val="1"/>
        <charset val="204"/>
      </rPr>
      <t>3</t>
    </r>
  </si>
  <si>
    <r>
      <t>К</t>
    </r>
    <r>
      <rPr>
        <b/>
        <vertAlign val="subscript"/>
        <sz val="9"/>
        <rFont val="Times New Roman"/>
        <family val="1"/>
        <charset val="204"/>
      </rPr>
      <t xml:space="preserve"> р</t>
    </r>
    <r>
      <rPr>
        <b/>
        <sz val="9"/>
        <rFont val="Times New Roman"/>
        <family val="1"/>
        <charset val="204"/>
      </rPr>
      <t xml:space="preserve"> </t>
    </r>
  </si>
  <si>
    <t>Ввеи</t>
  </si>
  <si>
    <r>
      <t>kcal/kg(nm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</si>
  <si>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t>Q горива</t>
  </si>
  <si>
    <t>В cf</t>
  </si>
  <si>
    <r>
      <t xml:space="preserve">Q </t>
    </r>
    <r>
      <rPr>
        <vertAlign val="subscript"/>
        <sz val="10"/>
        <rFont val="Times New Roman"/>
        <family val="1"/>
        <charset val="204"/>
      </rPr>
      <t>т пр.г.</t>
    </r>
  </si>
  <si>
    <r>
      <t xml:space="preserve">Q </t>
    </r>
    <r>
      <rPr>
        <vertAlign val="subscript"/>
        <sz val="10"/>
        <rFont val="Times New Roman"/>
        <family val="1"/>
        <charset val="204"/>
      </rPr>
      <t>т в</t>
    </r>
  </si>
  <si>
    <t>Ц емисии</t>
  </si>
  <si>
    <t>Количество закупени емисии парникови газове (СО2)</t>
  </si>
  <si>
    <t>Цени на горивата без ДДС</t>
  </si>
  <si>
    <t>Индивидуални разходи за единица топлинна енергия</t>
  </si>
  <si>
    <r>
      <t xml:space="preserve">Горна работна калоричност на горивата                                 </t>
    </r>
    <r>
      <rPr>
        <b/>
        <sz val="12"/>
        <rFont val="Times New Roman"/>
        <family val="1"/>
        <charset val="204"/>
      </rPr>
      <t>природен газ</t>
    </r>
  </si>
  <si>
    <t>Долна работна калоричност на горивата                                 природен газ</t>
  </si>
  <si>
    <t>Разходи за емисии парникови газове (СО2)</t>
  </si>
  <si>
    <t>3</t>
  </si>
  <si>
    <t>4</t>
  </si>
  <si>
    <t>5</t>
  </si>
  <si>
    <r>
      <t>t/(knm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</si>
  <si>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BGN/t(knm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</si>
  <si>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r>
      <t>kcal/kg(nm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</si>
  <si>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t>Разходи за материали, в т.ч.</t>
  </si>
  <si>
    <t xml:space="preserve"> отнесени към топлинната енергия:</t>
  </si>
  <si>
    <t>в това число за ремонт на ВК§ППК</t>
  </si>
  <si>
    <t>в това число за Ам на ВК§ППК</t>
  </si>
  <si>
    <r>
      <t>УСЛОВНО-ПОСТОЯННИ   РАЗХОДИ</t>
    </r>
    <r>
      <rPr>
        <b/>
        <sz val="10"/>
        <rFont val="Times New Roman"/>
        <family val="1"/>
        <charset val="204"/>
      </rPr>
      <t xml:space="preserve">  без Am</t>
    </r>
  </si>
  <si>
    <r>
      <t xml:space="preserve">Срок                </t>
    </r>
    <r>
      <rPr>
        <sz val="9"/>
        <rFont val="Times New Roman"/>
        <family val="1"/>
        <charset val="204"/>
      </rPr>
      <t>(години и месеци)</t>
    </r>
  </si>
  <si>
    <t>Лихва       ( % )</t>
  </si>
  <si>
    <t>Стойност (хил. лв)</t>
  </si>
  <si>
    <t>Топлинна мощност на КУ</t>
  </si>
  <si>
    <t>Топлинна ефективност на ГТ§КУ</t>
  </si>
  <si>
    <t>ДВГ-7</t>
  </si>
  <si>
    <t>Топлинна мощност с вп КУ "</t>
  </si>
  <si>
    <t>Топлинна мощност с вп КУ '</t>
  </si>
  <si>
    <t>Топлинна мощност с гв КУ "'</t>
  </si>
  <si>
    <t>Топлинна мощност на ЕПГ</t>
  </si>
  <si>
    <t>Номинален разход на пара ЕПГ</t>
  </si>
  <si>
    <t>Електрическа мощност на ПТ (ТГ)</t>
  </si>
  <si>
    <r>
      <t xml:space="preserve">Топлинна ефективност на </t>
    </r>
    <r>
      <rPr>
        <sz val="8"/>
        <rFont val="Times New Roman"/>
        <family val="1"/>
        <charset val="204"/>
      </rPr>
      <t>ЕПГ (КПД)</t>
    </r>
  </si>
  <si>
    <t>Топлинна мощност на ППО</t>
  </si>
  <si>
    <t>Топлинна мощност на ТПО</t>
  </si>
  <si>
    <t>Разход на вп от ТПО§Противоналягане</t>
  </si>
  <si>
    <t>Разход на вп от ППО§Противоналягане</t>
  </si>
  <si>
    <t>ЕПГ-1</t>
  </si>
  <si>
    <t>ЕПГ-2</t>
  </si>
  <si>
    <t>ЕПГ-3</t>
  </si>
  <si>
    <t>ГТ с КУ, ЕПГ и ПТ</t>
  </si>
  <si>
    <t xml:space="preserve">ГАЗОВИ ТУРБИНИ С КОТЛИ УТИЛИЗАТОРИ, ЕНЕРГИЙНИ ПАРОГЕНЕРАТОРИ И ПАРНИ ТУРБИНИ  (ПГЦ) и (ГТ с КУ)  </t>
  </si>
  <si>
    <t>Паспортни данни</t>
  </si>
  <si>
    <t>Разходи за ТР в преноса на  топлинна енергия с горща вода</t>
  </si>
  <si>
    <t>Разходи за ТР в преноса на  топлинна енергия с водна пара</t>
  </si>
  <si>
    <t>ТЕХНИЧЕСКИ ПОКАЗАТЕЛИ НА КОМБИНИРАНАТА ЧАСТ ОТ ЦЕНТРАЛАТА</t>
  </si>
  <si>
    <t>Q пр,вп</t>
  </si>
  <si>
    <t>Q пр,гв</t>
  </si>
  <si>
    <t>В ен.ч.</t>
  </si>
  <si>
    <t>t у.г.</t>
  </si>
  <si>
    <t>Произведена топлинна енергия от комбинирано производство</t>
  </si>
  <si>
    <r>
      <t>1000 nm</t>
    </r>
    <r>
      <rPr>
        <vertAlign val="superscript"/>
        <sz val="8"/>
        <rFont val="Times New Roman"/>
        <family val="1"/>
        <charset val="204"/>
      </rPr>
      <t>3</t>
    </r>
  </si>
  <si>
    <r>
      <t>Δ</t>
    </r>
    <r>
      <rPr>
        <b/>
        <sz val="10.5"/>
        <rFont val="Times New Roman"/>
        <family val="1"/>
        <charset val="204"/>
      </rPr>
      <t>F</t>
    </r>
  </si>
  <si>
    <r>
      <t>ОБЩА ефективност (η</t>
    </r>
    <r>
      <rPr>
        <vertAlign val="subscript"/>
        <sz val="10"/>
        <rFont val="Times New Roman"/>
        <family val="1"/>
        <charset val="204"/>
      </rPr>
      <t>общо</t>
    </r>
    <r>
      <rPr>
        <sz val="10"/>
        <rFont val="Times New Roman"/>
        <family val="1"/>
        <charset val="204"/>
      </rPr>
      <t>)</t>
    </r>
  </si>
  <si>
    <t>Q отп, гв</t>
  </si>
  <si>
    <t>Q отп, вп</t>
  </si>
  <si>
    <t>Q сн, гв</t>
  </si>
  <si>
    <t>Q сн, вп</t>
  </si>
  <si>
    <t>ТЕХНИЧЕСКИ ПОКАЗАТЕЛИ НА ВОДОГРЕЙНАТА  И  ПАРНА ЧАСТ ОТ ЦЕНТРАЛАТА</t>
  </si>
  <si>
    <t>Произведена топлинна енергия от ВК и ППК</t>
  </si>
  <si>
    <t>Топлинна ефективност (КПД)</t>
  </si>
  <si>
    <r>
      <t xml:space="preserve">η </t>
    </r>
    <r>
      <rPr>
        <vertAlign val="subscript"/>
        <sz val="10"/>
        <rFont val="Times New Roman"/>
        <family val="1"/>
        <charset val="204"/>
      </rPr>
      <t>общо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</si>
  <si>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</si>
  <si>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co-g</t>
    </r>
  </si>
  <si>
    <t>В пг</t>
  </si>
  <si>
    <t>В м</t>
  </si>
  <si>
    <t>Q веи</t>
  </si>
  <si>
    <t>В г</t>
  </si>
  <si>
    <t>ТЕХНИКО ИКОНОМИЧЕСКИ ПОКАЗАТЕЛИ ЗА ЦЕНТРАЛАТА</t>
  </si>
  <si>
    <t>Е не комб.</t>
  </si>
  <si>
    <t>комбинирана електрическа енергия от високоефективно производство</t>
  </si>
  <si>
    <t>комбинирана електрическа енергия</t>
  </si>
  <si>
    <t>Условно гориво за производство на енергия</t>
  </si>
  <si>
    <t>Топлина на горивата за производство, натурални количества и съотвения им дял</t>
  </si>
  <si>
    <r>
      <t>СРУГ</t>
    </r>
    <r>
      <rPr>
        <vertAlign val="subscript"/>
        <sz val="10"/>
        <rFont val="Times New Roman"/>
        <family val="1"/>
        <charset val="204"/>
      </rPr>
      <t>бр</t>
    </r>
    <r>
      <rPr>
        <sz val="10"/>
        <rFont val="Times New Roman"/>
        <family val="1"/>
        <charset val="204"/>
      </rPr>
      <t xml:space="preserve">    </t>
    </r>
    <r>
      <rPr>
        <b/>
        <sz val="10"/>
        <color indexed="10"/>
        <rFont val="Times New Roman"/>
        <family val="1"/>
        <charset val="204"/>
      </rPr>
      <t xml:space="preserve">                                                                                  за топлинна енергия</t>
    </r>
  </si>
  <si>
    <t>Условно гориво за производство на енергия в комбинираната част</t>
  </si>
  <si>
    <t>Условно гориво за производство на енергия във ВК и ППК</t>
  </si>
  <si>
    <t>Топлина на горивата за производство и натурални количества</t>
  </si>
  <si>
    <r>
      <t xml:space="preserve">η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</si>
  <si>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</si>
  <si>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rPr>
        <sz val="12"/>
        <rFont val="Times New Roman"/>
        <family val="1"/>
        <charset val="204"/>
      </rPr>
      <t>Топлина на горивата</t>
    </r>
    <r>
      <rPr>
        <sz val="10"/>
        <rFont val="Times New Roman"/>
        <family val="1"/>
        <charset val="204"/>
      </rPr>
      <t xml:space="preserve"> за производство и </t>
    </r>
    <r>
      <rPr>
        <sz val="12"/>
        <rFont val="Times New Roman"/>
        <family val="1"/>
        <charset val="204"/>
      </rPr>
      <t>натурални количества</t>
    </r>
  </si>
  <si>
    <t>6.1.</t>
  </si>
  <si>
    <t>6.2.</t>
  </si>
  <si>
    <t>Количество продадени емисии парникови газове (СО2)</t>
  </si>
  <si>
    <t>Средна цена на закупени емисии парникови газове (СО2)</t>
  </si>
  <si>
    <r>
      <t>Q а</t>
    </r>
    <r>
      <rPr>
        <vertAlign val="subscript"/>
        <sz val="10"/>
        <rFont val="Times New Roman"/>
        <family val="1"/>
        <charset val="204"/>
      </rPr>
      <t xml:space="preserve"> пр.г.</t>
    </r>
  </si>
  <si>
    <t>Топлинна енергия за собствено потребление</t>
  </si>
  <si>
    <t>7.1.</t>
  </si>
  <si>
    <t>7.2.</t>
  </si>
  <si>
    <t>7.3.</t>
  </si>
  <si>
    <t>9.1.</t>
  </si>
  <si>
    <t>9.2.</t>
  </si>
  <si>
    <t>9.3.</t>
  </si>
  <si>
    <t>9.4.</t>
  </si>
  <si>
    <t>9.5.</t>
  </si>
  <si>
    <t>18.1.</t>
  </si>
  <si>
    <t>18.2.</t>
  </si>
  <si>
    <t>1.2.1</t>
  </si>
  <si>
    <t>1.2.2</t>
  </si>
  <si>
    <t>1.2.3</t>
  </si>
  <si>
    <t>1.2.4</t>
  </si>
  <si>
    <t>1.5</t>
  </si>
  <si>
    <t>Акциз на пр. газ за комб. производство</t>
  </si>
  <si>
    <t>Акциз на природен газ за ВК§ППК</t>
  </si>
  <si>
    <t>Акциз на природния газ ОБЩО в т.ч.:</t>
  </si>
  <si>
    <t>Акциз на въглища за производство на топлинна енергия ОБЩО, в т.ч.:</t>
  </si>
  <si>
    <t>Разходи за гориво за производство на топлинна енергия (ВК§ППК), в т.ч. за:</t>
  </si>
  <si>
    <t>Разходи за гориво за комбирино производство на енергия, в т.ч. за:</t>
  </si>
  <si>
    <t>Акциз на въглища за производство на топлинна енергия в инсталации за КП</t>
  </si>
  <si>
    <t>Акциз на въглища за производство на топлинна енергия във ВК§ППК</t>
  </si>
  <si>
    <t>Необходими приходи в преноса на топлинна енергия с горща вода</t>
  </si>
  <si>
    <t>Цена за пренос на топлинна енергия с гореща вода (за пренос)</t>
  </si>
  <si>
    <t>Променливи Разходи в преноса на  топлинна енергия с горща вода</t>
  </si>
  <si>
    <r>
      <t xml:space="preserve">След попълването, </t>
    </r>
    <r>
      <rPr>
        <b/>
        <u/>
        <sz val="10"/>
        <rFont val="Times New Roman"/>
        <family val="1"/>
        <charset val="204"/>
      </rPr>
      <t>сменете името на файла</t>
    </r>
    <r>
      <rPr>
        <sz val="10"/>
        <rFont val="Times New Roman"/>
        <family val="1"/>
        <charset val="204"/>
      </rPr>
      <t>, което да съдържа името на Вашето дружество и поредността на ценовия Ви период и го запишети.</t>
    </r>
  </si>
  <si>
    <r>
      <t>СРУГ от комбинирано производство :</t>
    </r>
    <r>
      <rPr>
        <b/>
        <sz val="11"/>
        <color indexed="12"/>
        <rFont val="Times New Roman"/>
        <family val="1"/>
        <charset val="204"/>
      </rPr>
      <t xml:space="preserve">                               за електрическа енергия</t>
    </r>
  </si>
  <si>
    <r>
      <t xml:space="preserve">Отпусната топлинна енергия от централата </t>
    </r>
    <r>
      <rPr>
        <sz val="10"/>
        <color indexed="10"/>
        <rFont val="Times New Roman"/>
        <family val="1"/>
        <charset val="204"/>
      </rPr>
      <t xml:space="preserve">(към преноса, собствено потребление и потребители) </t>
    </r>
  </si>
  <si>
    <t xml:space="preserve">гореща вода (към преноса, собствено потребление и потребители) </t>
  </si>
  <si>
    <t xml:space="preserve">водна пара (към преноса, собствено потребление и потребители) </t>
  </si>
  <si>
    <t>Q е</t>
  </si>
  <si>
    <r>
      <t xml:space="preserve">СРУГ :                                                             </t>
    </r>
    <r>
      <rPr>
        <b/>
        <sz val="12"/>
        <color indexed="12"/>
        <rFont val="Times New Roman"/>
        <family val="1"/>
        <charset val="204"/>
      </rPr>
      <t>за електрическа енергия</t>
    </r>
  </si>
  <si>
    <t xml:space="preserve">Отпусната топлинна енергия от съоръженията ОБЩО </t>
  </si>
  <si>
    <t>Продадена електрическа енергия и за собствено потребление, в т.ч.:</t>
  </si>
  <si>
    <r>
      <rPr>
        <b/>
        <u/>
        <sz val="12"/>
        <color indexed="12"/>
        <rFont val="Times New Roman"/>
        <family val="1"/>
        <charset val="204"/>
      </rPr>
      <t>н</t>
    </r>
    <r>
      <rPr>
        <sz val="12"/>
        <color indexed="12"/>
        <rFont val="Times New Roman"/>
        <family val="1"/>
        <charset val="204"/>
      </rPr>
      <t xml:space="preserve">екомбинирана електрическа енергия гарантираща </t>
    </r>
    <r>
      <rPr>
        <sz val="10"/>
        <color indexed="12"/>
        <rFont val="Times New Roman"/>
        <family val="1"/>
        <charset val="204"/>
      </rPr>
      <t>надежност на експлоатация</t>
    </r>
  </si>
  <si>
    <t>Необходими приходи от топлинна енергия след добавка на ел. ен.</t>
  </si>
  <si>
    <t>Приходи от топлинна енергия с гореща вода</t>
  </si>
  <si>
    <t>Признати годишни разходи в преноса на топлинна енергия с водна пара</t>
  </si>
  <si>
    <t>Признати годишни разходи в преноса на топлинна енергия с гореща вода</t>
  </si>
  <si>
    <t>Променливи Разходи в преноса на  топлинна енергия с водна пара</t>
  </si>
  <si>
    <t>Q реализация (продажба и собствено потребление)</t>
  </si>
  <si>
    <r>
      <t xml:space="preserve">Q </t>
    </r>
    <r>
      <rPr>
        <sz val="8"/>
        <rFont val="Times New Roman"/>
        <family val="1"/>
        <charset val="204"/>
      </rPr>
      <t>произ. от ВК§ППК</t>
    </r>
  </si>
  <si>
    <t>Гориво за ВК§ППК</t>
  </si>
  <si>
    <t>Гориво за ВК</t>
  </si>
  <si>
    <t>Гориво за ППК</t>
  </si>
  <si>
    <t>3.3.</t>
  </si>
  <si>
    <t>3.5.</t>
  </si>
  <si>
    <t>3.6.</t>
  </si>
  <si>
    <t>3.7.</t>
  </si>
  <si>
    <t>3.9.</t>
  </si>
  <si>
    <t>4.3.</t>
  </si>
  <si>
    <t>4.4.</t>
  </si>
  <si>
    <t>4.5.</t>
  </si>
  <si>
    <t>4.6.</t>
  </si>
  <si>
    <t>4.7.</t>
  </si>
  <si>
    <t>ИНСТАЛИРАНИ ПРОМИШЛИНИ ПАРНИ КОТЛИ (ППК) В ЕКСПЛОАТАЦИЯ</t>
  </si>
  <si>
    <t>Номинален разход водна пара</t>
  </si>
  <si>
    <t>Номинално налягане водна пара</t>
  </si>
  <si>
    <t>ata</t>
  </si>
  <si>
    <t>РАЗДЕЛНО ПРОИЗВОДСТВО НА ТОПЛИННА ЕНЕРГИЯ С ТОПЛОНОСИТЕЛ  ГОРЕЩА ВОДА</t>
  </si>
  <si>
    <t>РАЗДЕЛНО ПРОИЗВОДСТВО НА ТОПЛИННА ЕНЕРГИЯ С ТОПЛОНОСИТЕЛ  ВОДНА ПАРА</t>
  </si>
  <si>
    <t>ППК-1</t>
  </si>
  <si>
    <t>ППК-2</t>
  </si>
  <si>
    <t>ППК-3</t>
  </si>
  <si>
    <t>ППК-4</t>
  </si>
  <si>
    <t>ППК-5</t>
  </si>
  <si>
    <t>ППК-6</t>
  </si>
  <si>
    <t>ППК-7</t>
  </si>
  <si>
    <t>Промишлени парни котли (ППК)</t>
  </si>
  <si>
    <t>ВК-8</t>
  </si>
  <si>
    <t>ППК-8</t>
  </si>
  <si>
    <t>Парогенератори</t>
  </si>
  <si>
    <t>ПГ-1</t>
  </si>
  <si>
    <t>ПГ-2</t>
  </si>
  <si>
    <t>ПГ-3</t>
  </si>
  <si>
    <t>ПГ-4</t>
  </si>
  <si>
    <t>ПГ-5</t>
  </si>
  <si>
    <t>ПГ-6</t>
  </si>
  <si>
    <t>Тип</t>
  </si>
  <si>
    <t>Разход пара</t>
  </si>
  <si>
    <t>Енталпия пара</t>
  </si>
  <si>
    <t>Енталпия пит.вода</t>
  </si>
  <si>
    <t>Турбогенератори</t>
  </si>
  <si>
    <t>ТГ-1</t>
  </si>
  <si>
    <t>ТГ-2</t>
  </si>
  <si>
    <t>ТГ-3</t>
  </si>
  <si>
    <t>ТГ-4</t>
  </si>
  <si>
    <t>ТГ-5</t>
  </si>
  <si>
    <t>ТГ-6</t>
  </si>
  <si>
    <t>kcal/kWh</t>
  </si>
  <si>
    <t>ЕНЕРГИИНИ ПАРОГЕНЕРАТОРИ И ТУРБОГЕНЕРАТОРИ</t>
  </si>
  <si>
    <t>ПГ-7</t>
  </si>
  <si>
    <t>ТГ-7</t>
  </si>
  <si>
    <t>3.4.</t>
  </si>
  <si>
    <t>СПЕЦИФИКАЦИЯ</t>
  </si>
  <si>
    <t>ИНСТАЛАЦИИ ЗА КОМБИНИРАНО ПРОИЗВОДСТВО НА ЕЛЕКТРИЧЕСКА И ТОПЛИННА ЕНЕРГИЯ</t>
  </si>
  <si>
    <t>16.1.</t>
  </si>
  <si>
    <t>16.2.</t>
  </si>
  <si>
    <t>18.3.</t>
  </si>
  <si>
    <t>18.4.</t>
  </si>
  <si>
    <t>18.5.</t>
  </si>
  <si>
    <t>24.1.</t>
  </si>
  <si>
    <t>24.2.</t>
  </si>
  <si>
    <t>24.3.</t>
  </si>
  <si>
    <t>26.1.</t>
  </si>
  <si>
    <t>26.2.</t>
  </si>
  <si>
    <t>26.3.</t>
  </si>
  <si>
    <t>26.4.</t>
  </si>
  <si>
    <t>26.5.</t>
  </si>
  <si>
    <t>27.1.</t>
  </si>
  <si>
    <t>27.2.</t>
  </si>
  <si>
    <t>27.3.</t>
  </si>
  <si>
    <t>27.4.</t>
  </si>
  <si>
    <t>27.5.</t>
  </si>
  <si>
    <t>23.2.</t>
  </si>
  <si>
    <t>23.1.</t>
  </si>
  <si>
    <t>23.3.</t>
  </si>
  <si>
    <r>
      <t xml:space="preserve">Произведена </t>
    </r>
    <r>
      <rPr>
        <b/>
        <u/>
        <sz val="10"/>
        <color indexed="12"/>
        <rFont val="Times New Roman"/>
        <family val="1"/>
        <charset val="204"/>
      </rPr>
      <t>н</t>
    </r>
    <r>
      <rPr>
        <sz val="10"/>
        <color indexed="12"/>
        <rFont val="Times New Roman"/>
        <family val="1"/>
        <charset val="204"/>
      </rPr>
      <t>екомбинирана електрическа енергия гарантираща надежност на експлоатация</t>
    </r>
  </si>
  <si>
    <t>28.1.</t>
  </si>
  <si>
    <t>28.2.</t>
  </si>
  <si>
    <t>28.3.</t>
  </si>
  <si>
    <t>28.4.</t>
  </si>
  <si>
    <t>28.5.</t>
  </si>
  <si>
    <t>29.1.</t>
  </si>
  <si>
    <t>29.2.</t>
  </si>
  <si>
    <t>29.3.</t>
  </si>
  <si>
    <t>29.4.</t>
  </si>
  <si>
    <t>29.5.</t>
  </si>
  <si>
    <t>34.1.</t>
  </si>
  <si>
    <t>34.2.</t>
  </si>
  <si>
    <t>34.3.</t>
  </si>
  <si>
    <t>34.4.</t>
  </si>
  <si>
    <t>37.1.</t>
  </si>
  <si>
    <t>37.2.</t>
  </si>
  <si>
    <t>38.1.</t>
  </si>
  <si>
    <t>38.2.</t>
  </si>
  <si>
    <t>38.3.</t>
  </si>
  <si>
    <t>38.4.</t>
  </si>
  <si>
    <t>40.1.</t>
  </si>
  <si>
    <t>40.2.</t>
  </si>
  <si>
    <t>40.3.</t>
  </si>
  <si>
    <t>40.4.</t>
  </si>
  <si>
    <t>40.5.</t>
  </si>
  <si>
    <t>Допълнително гориво за КУ</t>
  </si>
  <si>
    <t>ЕПГ-4</t>
  </si>
  <si>
    <t>КУ-1</t>
  </si>
  <si>
    <t>КУ-2</t>
  </si>
  <si>
    <t>Котел утилизатор (КУ)</t>
  </si>
  <si>
    <t>3.8.</t>
  </si>
  <si>
    <t>ЕПГ на общ колектор с КУ</t>
  </si>
  <si>
    <t>ТГ директно към КУ част от ПГЦ</t>
  </si>
  <si>
    <t>ТГ на общ колектор (КУ и ПГ)</t>
  </si>
  <si>
    <t>6.3.</t>
  </si>
  <si>
    <t>7.4.</t>
  </si>
  <si>
    <t>7.5.</t>
  </si>
  <si>
    <t>Топлинна ефективност на КУ, кпд</t>
  </si>
  <si>
    <t>ЕНЕРГИЙНИ ПАРОГЕНЕРАТОРИ И ТУРБОГЕНЕРАТОРИ (ЕПГ и ТГ)</t>
  </si>
  <si>
    <t>Ном. Електрическа мощност</t>
  </si>
  <si>
    <t>Ном. Електрическа мощност ГТ</t>
  </si>
  <si>
    <t>Ном. Електрическа мощност на ПТ(ТГ)</t>
  </si>
  <si>
    <r>
      <t>q</t>
    </r>
    <r>
      <rPr>
        <vertAlign val="subscript"/>
        <sz val="10"/>
        <rFont val="Times New Roman"/>
        <family val="1"/>
        <charset val="204"/>
      </rPr>
      <t>ел</t>
    </r>
  </si>
  <si>
    <t>7.6.</t>
  </si>
  <si>
    <t>Горивa ОБЩО за ТЕЦ</t>
  </si>
  <si>
    <t>топлина на горивата</t>
  </si>
  <si>
    <t>от Г на ДВГ, ГТ и ТГ</t>
  </si>
  <si>
    <t>Е производство, в т.ч.:</t>
  </si>
  <si>
    <t>комбинирана ел. ен.</t>
  </si>
  <si>
    <t>некомбинирана ел. ен.</t>
  </si>
  <si>
    <t>продажба в т. ч. :</t>
  </si>
  <si>
    <t>собств. потребление</t>
  </si>
  <si>
    <t>Общо ВК§ППК</t>
  </si>
  <si>
    <t>Горивна компонента в произв. цена на топлинната енергия</t>
  </si>
  <si>
    <t>Разход на остра пара на турбините</t>
  </si>
  <si>
    <t>Енталпия на остра пара на турбините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</si>
  <si>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</si>
  <si>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</si>
  <si>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</si>
  <si>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</si>
  <si>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</si>
  <si>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</si>
  <si>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ВОДОГРЕЙНИ КОТЛИ (ВК) В ЕКСПЛОАТАЦИЯ</t>
  </si>
  <si>
    <t>Работни часове</t>
  </si>
  <si>
    <t>h</t>
  </si>
  <si>
    <t>Произведена Топлинна енергия</t>
  </si>
  <si>
    <t>ПРОМИШЛИНИ ПАРНИ КОТЛИ (ППК) В ЕКСПЛОАТАЦИЯ</t>
  </si>
  <si>
    <t>2.6.</t>
  </si>
  <si>
    <t>Налягане на водна пара</t>
  </si>
  <si>
    <t>Разход на водна пара</t>
  </si>
  <si>
    <t>Среден разход на водна пара</t>
  </si>
  <si>
    <t>Топлинна ефективност ВК§ППК</t>
  </si>
  <si>
    <t>РАЗДЕЛНО ПРОИЗВОДСТВО НА ТОПЛИННА ЕНЕРГИЯ</t>
  </si>
  <si>
    <t>Приложение № 8</t>
  </si>
  <si>
    <t>Приложение № 7</t>
  </si>
  <si>
    <t>Приложение № 9</t>
  </si>
  <si>
    <t>РЕГУЛАТОРНА БАЗА НА АКТИВИТЕ ОБЩО</t>
  </si>
  <si>
    <t>Σ</t>
  </si>
  <si>
    <t>Остатък главница              (хил. лв)</t>
  </si>
  <si>
    <t>Основни съоръжения в работа всеки месец</t>
  </si>
  <si>
    <t>ВК и ППК</t>
  </si>
  <si>
    <t>ПГ</t>
  </si>
  <si>
    <t>ТГ, ДВГ, ГТ и ТГку</t>
  </si>
  <si>
    <t>ТГку-1</t>
  </si>
  <si>
    <t>Компонента от ТР в цената за пренос на топлинна енергия с гореща вода</t>
  </si>
  <si>
    <t>Компонента от ТР в цена на топлинна енергия с водна пара (за пренос)</t>
  </si>
  <si>
    <t>Работещи  по преноса на топлинна енергия (преносно предприятие)</t>
  </si>
  <si>
    <t>бр.</t>
  </si>
  <si>
    <t>ТЕХНИЧЕСКИ ПОКАЗАТЕЛИ</t>
  </si>
  <si>
    <t>Работещи  в производството на топлинна и електрическа енергия (топлоизточник)</t>
  </si>
  <si>
    <t>Работещи  ОБЩО  (производство на ЕЕ и/или ТЕ и пренос на топлинна енергия)</t>
  </si>
  <si>
    <t>Работещи  в преноса на топлинна енергия (преносно предприятие)</t>
  </si>
  <si>
    <t>Температура на питателна (вхадяща) вода</t>
  </si>
  <si>
    <t>° C</t>
  </si>
  <si>
    <t>Δh</t>
  </si>
  <si>
    <t>Разлика между енталпиите на водната пара и питателната вода</t>
  </si>
  <si>
    <t>1.1.5.</t>
  </si>
  <si>
    <t>1.2.5.</t>
  </si>
  <si>
    <t>Коефициент на разпределение на УПР в производството</t>
  </si>
  <si>
    <r>
      <t xml:space="preserve">K </t>
    </r>
    <r>
      <rPr>
        <vertAlign val="subscript"/>
        <sz val="10"/>
        <rFont val="Times New Roman"/>
        <family val="1"/>
        <charset val="204"/>
      </rPr>
      <t>упр</t>
    </r>
    <r>
      <rPr>
        <vertAlign val="superscript"/>
        <sz val="10"/>
        <rFont val="Times New Roman"/>
        <family val="1"/>
        <charset val="204"/>
      </rPr>
      <t>произв.</t>
    </r>
  </si>
  <si>
    <r>
      <t>Емисии на парникови газове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 за цялото производство ТОТАЛ</t>
    </r>
  </si>
  <si>
    <r>
      <t>Емисии от производството на електрическа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</si>
  <si>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>Емисии от производството на топлинна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</si>
  <si>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тп</t>
    </r>
  </si>
  <si>
    <t>Референтна топлинна ефективност</t>
  </si>
  <si>
    <t>Референтна електрическа ефективност</t>
  </si>
  <si>
    <t>Коефициент за разделяне на горивото в енергийната част (ползи)</t>
  </si>
  <si>
    <t>Топлинна енергия за електрическа енергия (ползи)</t>
  </si>
  <si>
    <t>Коефициент за разделяне на горивото в централата (ползи)</t>
  </si>
  <si>
    <r>
      <t xml:space="preserve">K </t>
    </r>
    <r>
      <rPr>
        <vertAlign val="subscript"/>
        <sz val="10"/>
        <rFont val="Times New Roman"/>
        <family val="1"/>
        <charset val="204"/>
      </rPr>
      <t>p</t>
    </r>
    <r>
      <rPr>
        <vertAlign val="superscript"/>
        <sz val="10"/>
        <rFont val="Times New Roman"/>
        <family val="1"/>
        <charset val="204"/>
      </rPr>
      <t>ен.ч.</t>
    </r>
  </si>
  <si>
    <r>
      <t xml:space="preserve">K </t>
    </r>
    <r>
      <rPr>
        <vertAlign val="subscript"/>
        <sz val="10"/>
        <rFont val="Times New Roman"/>
        <family val="1"/>
        <charset val="204"/>
      </rPr>
      <t>р</t>
    </r>
    <r>
      <rPr>
        <vertAlign val="superscript"/>
        <sz val="10"/>
        <rFont val="Times New Roman"/>
        <family val="1"/>
        <charset val="204"/>
      </rPr>
      <t>централа</t>
    </r>
  </si>
  <si>
    <r>
      <t>Q горива</t>
    </r>
    <r>
      <rPr>
        <vertAlign val="superscript"/>
        <sz val="10"/>
        <rFont val="Times New Roman"/>
        <family val="1"/>
        <charset val="204"/>
      </rPr>
      <t>ен.ч.</t>
    </r>
  </si>
  <si>
    <r>
      <t>Q горива</t>
    </r>
    <r>
      <rPr>
        <vertAlign val="superscript"/>
        <sz val="10"/>
        <rFont val="Times New Roman"/>
        <family val="1"/>
        <charset val="204"/>
      </rPr>
      <t>впч.</t>
    </r>
  </si>
  <si>
    <t>Разходи, пряко свързани с регулираните дейности по ЗЕ</t>
  </si>
  <si>
    <t>33.1.</t>
  </si>
  <si>
    <t>33.2.</t>
  </si>
  <si>
    <r>
      <t xml:space="preserve">η </t>
    </r>
    <r>
      <rPr>
        <vertAlign val="subscript"/>
        <sz val="10"/>
        <color indexed="18"/>
        <rFont val="Times New Roman"/>
        <family val="1"/>
        <charset val="204"/>
      </rPr>
      <t>общо</t>
    </r>
  </si>
  <si>
    <t>Необходими Годишни Приходи за производство на Електрическа енергия</t>
  </si>
  <si>
    <t>ВЪЗВРЪЩАЕМОСТ НА КАПИТАЛА ЗА  Топлинна енергия</t>
  </si>
  <si>
    <t>Признати Годишни Разходи за производство на Топлинна енергия</t>
  </si>
  <si>
    <t>Условно-Постоянни Разходи за производство на Топлинна енергия</t>
  </si>
  <si>
    <t>Променливи Разходи за производство на Топлинна енергия</t>
  </si>
  <si>
    <r>
      <t>Q пр</t>
    </r>
    <r>
      <rPr>
        <vertAlign val="superscript"/>
        <sz val="10"/>
        <rFont val="Times New Roman"/>
        <family val="1"/>
        <charset val="204"/>
      </rPr>
      <t>ен.ч.</t>
    </r>
  </si>
  <si>
    <r>
      <t>Q пр</t>
    </r>
    <r>
      <rPr>
        <vertAlign val="superscript"/>
        <sz val="10"/>
        <rFont val="Times New Roman"/>
        <family val="1"/>
        <charset val="204"/>
      </rPr>
      <t>впч.</t>
    </r>
  </si>
  <si>
    <r>
      <t>Qпг</t>
    </r>
    <r>
      <rPr>
        <vertAlign val="superscript"/>
        <sz val="10"/>
        <rFont val="Times New Roman"/>
        <family val="1"/>
        <charset val="204"/>
      </rPr>
      <t>др</t>
    </r>
  </si>
  <si>
    <r>
      <t>Qм</t>
    </r>
    <r>
      <rPr>
        <vertAlign val="superscript"/>
        <sz val="10"/>
        <rFont val="Times New Roman"/>
        <family val="1"/>
        <charset val="204"/>
      </rPr>
      <t>др</t>
    </r>
  </si>
  <si>
    <r>
      <t>Qг</t>
    </r>
    <r>
      <rPr>
        <vertAlign val="superscript"/>
        <sz val="10"/>
        <rFont val="Times New Roman"/>
        <family val="1"/>
        <charset val="204"/>
      </rPr>
      <t>др</t>
    </r>
  </si>
  <si>
    <r>
      <t>Qв</t>
    </r>
    <r>
      <rPr>
        <vertAlign val="superscript"/>
        <sz val="10"/>
        <rFont val="Times New Roman"/>
        <family val="1"/>
        <charset val="204"/>
      </rPr>
      <t>др</t>
    </r>
  </si>
  <si>
    <r>
      <t>Qвеи</t>
    </r>
    <r>
      <rPr>
        <vertAlign val="superscript"/>
        <sz val="10"/>
        <rFont val="Times New Roman"/>
        <family val="1"/>
        <charset val="204"/>
      </rPr>
      <t>др</t>
    </r>
  </si>
  <si>
    <t>Максимален топлинен товар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</si>
  <si>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</si>
  <si>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реф.е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</si>
  <si>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</si>
  <si>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е</t>
    </r>
  </si>
  <si>
    <t>Q отпуснато от източниците</t>
  </si>
  <si>
    <t>Q произведена (от съоръженията за комб. и разделно произв.)</t>
  </si>
  <si>
    <t>ПРОГНОЗА за НРП</t>
  </si>
  <si>
    <t>Средна цена на продадени емисии парникови газове (СО2)</t>
  </si>
  <si>
    <t>"ИНЕРТСТРОЙ-КАЛЕТО"АД</t>
  </si>
  <si>
    <t>Гл.счетоводител/ М.Тодорова /</t>
  </si>
  <si>
    <t>Изп.директор /Т.Йорданов/</t>
  </si>
  <si>
    <t>М.Тодорова</t>
  </si>
  <si>
    <t>Т.Йорданов</t>
  </si>
  <si>
    <t>N-0003623А1/18.03.2014г.</t>
  </si>
  <si>
    <t>N-2/24.11.2014г.</t>
  </si>
  <si>
    <t>N-57196L/30.10.2014г.</t>
  </si>
  <si>
    <t>ОТЧЕТ към 28.02.2015 г.</t>
  </si>
  <si>
    <t>ОТЧЕТ към 31.12.2014 г.</t>
  </si>
  <si>
    <t>Справка за Привлечен капитал към 31.12.2014 г.</t>
  </si>
  <si>
    <t>Към 31.12.2014 г.</t>
  </si>
  <si>
    <t>Към 31.12.2015 г.</t>
  </si>
</sst>
</file>

<file path=xl/styles.xml><?xml version="1.0" encoding="utf-8"?>
<styleSheet xmlns="http://schemas.openxmlformats.org/spreadsheetml/2006/main">
  <numFmts count="57">
    <numFmt numFmtId="164" formatCode="&quot;ПЕРИОД-&quot;yyyy\ &quot;г.&quot;"/>
    <numFmt numFmtId="165" formatCode="yyyy\ &quot;г.&quot;"/>
    <numFmt numFmtId="166" formatCode="#,##0.0"/>
    <numFmt numFmtId="167" formatCode="0.0000"/>
    <numFmt numFmtId="168" formatCode="#,##0.000"/>
    <numFmt numFmtId="169" formatCode="#,##0.0000"/>
    <numFmt numFmtId="170" formatCode="0.0%"/>
    <numFmt numFmtId="171" formatCode="#,##0.00_ ;[Red]\-#,##0.00\ "/>
    <numFmt numFmtId="172" formatCode="#,##0_ ;[Red]\-#,##0\ "/>
    <numFmt numFmtId="173" formatCode="&quot;ОБЩО &quot;yyyy\ &quot;г.&quot;"/>
    <numFmt numFmtId="174" formatCode="0_)"/>
    <numFmt numFmtId="175" formatCode="&quot;СПРАВКА № &quot;0"/>
    <numFmt numFmtId="176" formatCode="&quot;ОТЧЕТ &quot;0&quot; г.&quot;"/>
    <numFmt numFmtId="177" formatCode="0&quot; г.&quot;"/>
    <numFmt numFmtId="178" formatCode="&quot;Към 31.12.&quot;0&quot; г.&quot;"/>
    <numFmt numFmtId="179" formatCode="&quot;Прогноза за &quot;0&quot; г.&quot;"/>
    <numFmt numFmtId="180" formatCode="&quot;РЕГУЛАТОРНА БАЗА НА АКТИВИТЕ ЗА ЕЛЕКТРИЧЕСКА И ТОПЛИННА ЕНЕРГИЯ  -  ( &quot;0.00%&quot; за ЕЕ )&quot;"/>
    <numFmt numFmtId="181" formatCode="&quot;Привлечен капитал  към 31.12.&quot;0&quot; г., в т. ч.&quot;"/>
    <numFmt numFmtId="182" formatCode="&quot;Справка за Привлечен капитал  към 31.12.&quot;0&quot; г.&quot;"/>
    <numFmt numFmtId="183" formatCode="&quot;РЕГУЛАТОРНА БАЗА НА АКТИВИТЕ ЗА ПРОИЗВОДСТВО И ПРЕНОС  -  ( &quot;0.00%&quot; за ПРОИЗВОДСТВО )&quot;"/>
    <numFmt numFmtId="184" formatCode="&quot;ДМА  към 31.12.&quot;0&quot; г.&quot;"/>
    <numFmt numFmtId="185" formatCode="&quot;РЕГУЛАТОРНА БАЗА НА АКТИВИТЕ ЗА КОМБИНИРАНО И РАЗДЕЛНО ПРОИЗВОДСТВО  -  ( &quot;0.00%&quot; за КОМБИНИРАНО ПРОИЗВОДСТВО )&quot;"/>
    <numFmt numFmtId="186" formatCode="&quot;при &quot;#,##0&quot; kcal/knm3&quot;"/>
    <numFmt numFmtId="187" formatCode="&quot;при &quot;#,##0&quot; kcal/kg&quot;"/>
    <numFmt numFmtId="188" formatCode="&quot;при &quot;#,##0&quot; kcal/kg (knm3)&quot;"/>
    <numFmt numFmtId="189" formatCode="mmmm"/>
    <numFmt numFmtId="190" formatCode="&quot;начален м. &quot;0"/>
    <numFmt numFmtId="191" formatCode="&quot;ПРОГНОЗА към &quot;0.0000&quot; г.&quot;"/>
    <numFmt numFmtId="192" formatCode="&quot;ОТЧЕТ към 31.12.&quot;0&quot; г.&quot;"/>
    <numFmt numFmtId="193" formatCode="&quot;ЗА &quot;0&quot; г.&quot;"/>
    <numFmt numFmtId="194" formatCode="&quot;към &quot;0.0000&quot; г.&quot;"/>
    <numFmt numFmtId="195" formatCode="&quot;Акцизна топлина на горивото природен газ (при акциз в размер на &quot;0.00&quot; лв./GJ)&quot;"/>
    <numFmt numFmtId="196" formatCode="&quot;Акцизна топлина на горивото пр. газ за ТЕ-РП (при акциз в размер на &quot;0.00&quot; лв./GJ)&quot;"/>
    <numFmt numFmtId="197" formatCode="&quot;Акцизна топлина на горивото въглища за ТЕ-РП (при акциз в размер на &quot;0.00&quot; лв./GJ)&quot;"/>
    <numFmt numFmtId="198" formatCode="&quot;Акцизна топлина на горивото въглища за ТЕ-КП (при акциз в размер на &quot;0.00&quot; лв./GJ)&quot;"/>
    <numFmt numFmtId="199" formatCode="&quot;Акцизна топлина на горивото природен газ общо (при акциз в размер на &quot;0.00&quot; лв./GJ)&quot;"/>
    <numFmt numFmtId="200" formatCode="&quot;Акцизна топлина на горивото въглища за ТЕ общо (при акциз в размер на &quot;0.00&quot; лв./GJ)&quot;"/>
    <numFmt numFmtId="201" formatCode="&quot;Цена за комбинирана електрическа енергия (за изгр. мощност преди изм. ЗЕ &quot;0&quot; г.)&quot;"/>
    <numFmt numFmtId="202" formatCode="&quot;НАЛИЧНОСТ КЪМ &quot;0.0000&quot; г.&quot;"/>
    <numFmt numFmtId="203" formatCode="&quot;ПРОГНОЗА &quot;yyyy\ &quot;г.&quot;"/>
    <numFmt numFmtId="204" formatCode="&quot; * &quot;0&quot; =&quot;"/>
    <numFmt numFmtId="205" formatCode="&quot;- &quot;#,##0&quot;) /&quot;"/>
    <numFmt numFmtId="206" formatCode="&quot;= (&quot;#,##0&quot; *&quot;"/>
    <numFmt numFmtId="207" formatCode="&quot;ДВИГАТЕЛИ С ВЪТРЕШНО ГОРЕНЕ (ДВГ) (qe = &quot;#,##0&quot; kcal/kWh)&quot;"/>
    <numFmt numFmtId="208" formatCode="&quot;ГТ с КУ (qe = &quot;#,##0&quot; kcal/kWh)&quot;"/>
    <numFmt numFmtId="209" formatCode="&quot;ГТ с КУ и ПТ (ПГЦ) (qe = &quot;#,##0&quot; kcal/kWh)&quot;"/>
    <numFmt numFmtId="210" formatCode="&quot;ОТЧЕТ за &quot;0&quot; г.&quot;"/>
    <numFmt numFmtId="211" formatCode="&quot;ПРОГНОЗА от &quot;0.0000&quot; г.&quot;"/>
    <numFmt numFmtId="212" formatCode="&quot;ПРОГНОЗА &quot;0.0000&quot; г.&quot;"/>
    <numFmt numFmtId="213" formatCode="&quot;Справка за Привлечен капитал  към &quot;0.0000&quot; г.&quot;"/>
    <numFmt numFmtId="214" formatCode="&quot;Към &quot;0.0000&quot; г.&quot;"/>
    <numFmt numFmtId="215" formatCode="&quot;ПРОГНОЗНИ ПАРАМЕТРИ &quot;0.0000&quot; г.&quot;"/>
    <numFmt numFmtId="216" formatCode="&quot;КОЛИЧЕСТВЕНИ ПОКАЗАТЕЛИ ЗА ПРОИЗВОДИТЕЛЯ - &quot;0.0000&quot; г.&quot;"/>
    <numFmt numFmtId="217" formatCode="&quot;ПОКАЗАТЕЛИ ЗА ПРОИЗВОДИТЕЛЯ  И ПРЕНОСА - &quot;0.0000&quot; г.&quot;"/>
    <numFmt numFmtId="218" formatCode="&quot;от &quot;0.0000&quot; г.&quot;"/>
    <numFmt numFmtId="219" formatCode="&quot;ПРОГНОЗНИ ПАРАМЕТРИ НРП от &quot;0.0000&quot; г.&quot;"/>
    <numFmt numFmtId="220" formatCode="&quot;ПРОГНОЗА за НРП от &quot;0.0000&quot; г.&quot;"/>
  </numFmts>
  <fonts count="91">
    <font>
      <sz val="10"/>
      <name val="Arial"/>
      <charset val="204"/>
    </font>
    <font>
      <sz val="10"/>
      <name val="Arial"/>
      <family val="2"/>
      <charset val="204"/>
    </font>
    <font>
      <sz val="12"/>
      <name val="Helv"/>
    </font>
    <font>
      <sz val="10"/>
      <name val="SAfon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u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b/>
      <u val="double"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u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8"/>
      <name val="Times New Roman"/>
      <family val="1"/>
    </font>
    <font>
      <sz val="12"/>
      <name val="Times New Roman"/>
      <family val="1"/>
    </font>
    <font>
      <b/>
      <u/>
      <sz val="10"/>
      <color indexed="12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vertAlign val="subscript"/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6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name val="Times New Roman"/>
      <family val="1"/>
    </font>
    <font>
      <vertAlign val="subscript"/>
      <sz val="10"/>
      <color indexed="18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33CC"/>
      <name val="Times New Roman"/>
      <family val="1"/>
      <charset val="204"/>
    </font>
    <font>
      <sz val="10"/>
      <color rgb="FF0033CC"/>
      <name val="Times New Roman"/>
      <family val="1"/>
      <charset val="204"/>
    </font>
    <font>
      <sz val="16"/>
      <color rgb="FF0033CC"/>
      <name val="Times New Roman"/>
      <family val="1"/>
      <charset val="204"/>
    </font>
    <font>
      <sz val="10"/>
      <color rgb="FF0033CC"/>
      <name val="SAfon"/>
      <family val="2"/>
      <charset val="204"/>
    </font>
    <font>
      <sz val="10"/>
      <color rgb="FFFF0000"/>
      <name val="SAfon"/>
      <family val="2"/>
      <charset val="204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33CC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9" tint="-0.499984740745262"/>
      <name val="Times New Roman"/>
      <family val="1"/>
      <charset val="204"/>
    </font>
    <font>
      <b/>
      <u/>
      <sz val="9"/>
      <color rgb="FFFF0000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000066"/>
      <name val="Times New Roman"/>
      <family val="1"/>
      <charset val="204"/>
    </font>
    <font>
      <b/>
      <sz val="10"/>
      <color rgb="FF000066"/>
      <name val="Times New Roman"/>
      <family val="1"/>
      <charset val="204"/>
    </font>
    <font>
      <sz val="10"/>
      <color theme="0" tint="-4.9989318521683403E-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174" fontId="2" fillId="0" borderId="0"/>
    <xf numFmtId="9" fontId="1" fillId="0" borderId="0" applyFont="0" applyFill="0" applyBorder="0" applyAlignment="0" applyProtection="0"/>
  </cellStyleXfs>
  <cellXfs count="871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164" fontId="4" fillId="0" borderId="1" xfId="0" applyNumberFormat="1" applyFont="1" applyFill="1" applyBorder="1" applyAlignment="1" applyProtection="1">
      <alignment horizontal="center"/>
    </xf>
    <xf numFmtId="173" fontId="4" fillId="0" borderId="1" xfId="0" applyNumberFormat="1" applyFont="1" applyFill="1" applyBorder="1" applyAlignment="1" applyProtection="1">
      <alignment horizontal="center"/>
    </xf>
    <xf numFmtId="173" fontId="4" fillId="0" borderId="2" xfId="0" applyNumberFormat="1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/>
    <xf numFmtId="0" fontId="4" fillId="0" borderId="1" xfId="0" applyFont="1" applyBorder="1" applyAlignment="1" applyProtection="1">
      <alignment horizontal="center" vertical="center"/>
    </xf>
    <xf numFmtId="0" fontId="10" fillId="0" borderId="0" xfId="0" applyFont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12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top" wrapText="1"/>
    </xf>
    <xf numFmtId="3" fontId="4" fillId="0" borderId="0" xfId="0" applyNumberFormat="1" applyFont="1" applyBorder="1" applyAlignment="1" applyProtection="1">
      <alignment horizontal="center" vertical="top" wrapText="1"/>
    </xf>
    <xf numFmtId="0" fontId="12" fillId="0" borderId="0" xfId="0" applyFont="1" applyProtection="1"/>
    <xf numFmtId="0" fontId="12" fillId="4" borderId="1" xfId="0" applyFont="1" applyFill="1" applyBorder="1" applyAlignment="1" applyProtection="1">
      <alignment horizontal="center" vertical="top" wrapText="1"/>
    </xf>
    <xf numFmtId="3" fontId="4" fillId="0" borderId="0" xfId="0" applyNumberFormat="1" applyFont="1" applyAlignment="1" applyProtection="1">
      <alignment horizontal="center"/>
    </xf>
    <xf numFmtId="3" fontId="4" fillId="3" borderId="5" xfId="0" applyNumberFormat="1" applyFont="1" applyFill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7" fillId="0" borderId="5" xfId="0" applyFont="1" applyBorder="1" applyAlignment="1" applyProtection="1">
      <alignment horizontal="left" vertical="top" wrapText="1"/>
    </xf>
    <xf numFmtId="3" fontId="4" fillId="0" borderId="5" xfId="0" applyNumberFormat="1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/>
      <protection locked="0"/>
    </xf>
    <xf numFmtId="168" fontId="4" fillId="2" borderId="1" xfId="0" applyNumberFormat="1" applyFont="1" applyFill="1" applyBorder="1" applyAlignment="1" applyProtection="1">
      <alignment horizontal="right"/>
      <protection locked="0"/>
    </xf>
    <xf numFmtId="10" fontId="4" fillId="2" borderId="1" xfId="2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1" xfId="2" applyNumberFormat="1" applyFont="1" applyFill="1" applyBorder="1" applyAlignment="1" applyProtection="1">
      <alignment horizontal="right" vertical="center" wrapText="1"/>
      <protection locked="0"/>
    </xf>
    <xf numFmtId="3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5" xfId="2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3" fontId="32" fillId="2" borderId="1" xfId="0" applyNumberFormat="1" applyFont="1" applyFill="1" applyBorder="1" applyAlignment="1" applyProtection="1">
      <alignment horizontal="center"/>
      <protection locked="0"/>
    </xf>
    <xf numFmtId="3" fontId="32" fillId="2" borderId="2" xfId="0" applyNumberFormat="1" applyFont="1" applyFill="1" applyBorder="1" applyAlignment="1" applyProtection="1">
      <alignment horizontal="center"/>
      <protection locked="0"/>
    </xf>
    <xf numFmtId="3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top"/>
    </xf>
    <xf numFmtId="0" fontId="4" fillId="3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horizontal="center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3" fontId="24" fillId="2" borderId="1" xfId="0" applyNumberFormat="1" applyFont="1" applyFill="1" applyBorder="1" applyAlignment="1" applyProtection="1">
      <alignment horizontal="right" vertical="center"/>
      <protection locked="0"/>
    </xf>
    <xf numFmtId="168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2" borderId="1" xfId="2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3" fontId="6" fillId="2" borderId="1" xfId="0" applyNumberFormat="1" applyFont="1" applyFill="1" applyBorder="1" applyAlignment="1" applyProtection="1">
      <alignment horizontal="center" vertical="center"/>
      <protection locked="0"/>
    </xf>
    <xf numFmtId="3" fontId="6" fillId="2" borderId="1" xfId="0" applyNumberFormat="1" applyFont="1" applyFill="1" applyBorder="1" applyAlignment="1" applyProtection="1">
      <alignment horizontal="center"/>
      <protection locked="0"/>
    </xf>
    <xf numFmtId="3" fontId="4" fillId="5" borderId="7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left" vertical="top" wrapText="1"/>
    </xf>
    <xf numFmtId="3" fontId="7" fillId="0" borderId="0" xfId="0" applyNumberFormat="1" applyFont="1" applyBorder="1" applyAlignment="1" applyProtection="1">
      <alignment horizontal="center" vertical="top" wrapTex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87" fontId="4" fillId="6" borderId="8" xfId="0" applyNumberFormat="1" applyFont="1" applyFill="1" applyBorder="1" applyAlignment="1" applyProtection="1">
      <alignment vertical="center" wrapText="1"/>
      <protection locked="0"/>
    </xf>
    <xf numFmtId="188" fontId="15" fillId="6" borderId="8" xfId="0" applyNumberFormat="1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177" fontId="11" fillId="0" borderId="9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vertical="center"/>
    </xf>
    <xf numFmtId="3" fontId="6" fillId="2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2" xfId="0" applyNumberFormat="1" applyFont="1" applyFill="1" applyBorder="1" applyAlignment="1" applyProtection="1">
      <alignment horizontal="right" vertical="center"/>
    </xf>
    <xf numFmtId="3" fontId="18" fillId="2" borderId="1" xfId="0" applyNumberFormat="1" applyFont="1" applyFill="1" applyBorder="1" applyAlignment="1" applyProtection="1">
      <alignment horizontal="center"/>
      <protection locked="0"/>
    </xf>
    <xf numFmtId="3" fontId="18" fillId="2" borderId="2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3" fontId="62" fillId="2" borderId="1" xfId="0" applyNumberFormat="1" applyFont="1" applyFill="1" applyBorder="1" applyAlignment="1" applyProtection="1">
      <alignment vertical="center"/>
      <protection locked="0"/>
    </xf>
    <xf numFmtId="167" fontId="18" fillId="0" borderId="1" xfId="0" applyNumberFormat="1" applyFont="1" applyBorder="1" applyAlignment="1" applyProtection="1">
      <alignment vertical="center"/>
    </xf>
    <xf numFmtId="3" fontId="7" fillId="2" borderId="1" xfId="0" applyNumberFormat="1" applyFont="1" applyFill="1" applyBorder="1" applyAlignment="1" applyProtection="1">
      <alignment vertical="center"/>
      <protection locked="0"/>
    </xf>
    <xf numFmtId="3" fontId="63" fillId="3" borderId="5" xfId="0" applyNumberFormat="1" applyFont="1" applyFill="1" applyBorder="1" applyAlignment="1" applyProtection="1">
      <alignment horizontal="right" vertical="center"/>
    </xf>
    <xf numFmtId="3" fontId="63" fillId="3" borderId="10" xfId="0" applyNumberFormat="1" applyFont="1" applyFill="1" applyBorder="1" applyAlignment="1" applyProtection="1">
      <alignment horizontal="right" vertical="center"/>
    </xf>
    <xf numFmtId="3" fontId="64" fillId="3" borderId="1" xfId="0" applyNumberFormat="1" applyFont="1" applyFill="1" applyBorder="1" applyAlignment="1" applyProtection="1">
      <alignment horizontal="right" vertical="center"/>
    </xf>
    <xf numFmtId="3" fontId="64" fillId="0" borderId="1" xfId="0" applyNumberFormat="1" applyFont="1" applyBorder="1" applyAlignment="1" applyProtection="1">
      <alignment horizontal="right" vertical="center"/>
    </xf>
    <xf numFmtId="3" fontId="64" fillId="3" borderId="2" xfId="0" applyNumberFormat="1" applyFont="1" applyFill="1" applyBorder="1" applyAlignment="1" applyProtection="1">
      <alignment horizontal="right" vertical="center"/>
    </xf>
    <xf numFmtId="0" fontId="7" fillId="0" borderId="11" xfId="0" applyFont="1" applyBorder="1" applyAlignment="1" applyProtection="1">
      <alignment horizontal="left" vertical="center" wrapText="1"/>
    </xf>
    <xf numFmtId="3" fontId="4" fillId="3" borderId="11" xfId="0" applyNumberFormat="1" applyFont="1" applyFill="1" applyBorder="1" applyAlignment="1" applyProtection="1">
      <alignment horizontal="center" vertical="center"/>
    </xf>
    <xf numFmtId="3" fontId="18" fillId="3" borderId="11" xfId="0" applyNumberFormat="1" applyFont="1" applyFill="1" applyBorder="1" applyAlignment="1" applyProtection="1">
      <alignment horizontal="right" vertical="center"/>
    </xf>
    <xf numFmtId="3" fontId="18" fillId="3" borderId="12" xfId="0" applyNumberFormat="1" applyFont="1" applyFill="1" applyBorder="1" applyAlignment="1" applyProtection="1">
      <alignment horizontal="right" vertical="center"/>
    </xf>
    <xf numFmtId="3" fontId="6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89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Protection="1"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4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protection hidden="1"/>
    </xf>
    <xf numFmtId="0" fontId="4" fillId="0" borderId="1" xfId="0" applyFont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65" fillId="0" borderId="1" xfId="0" applyFont="1" applyBorder="1" applyAlignment="1" applyProtection="1">
      <alignment vertical="top"/>
      <protection hidden="1"/>
    </xf>
    <xf numFmtId="0" fontId="65" fillId="0" borderId="1" xfId="0" applyFont="1" applyBorder="1" applyProtection="1">
      <protection hidden="1"/>
    </xf>
    <xf numFmtId="0" fontId="65" fillId="0" borderId="1" xfId="0" applyFont="1" applyBorder="1" applyAlignment="1" applyProtection="1">
      <alignment vertical="center"/>
      <protection hidden="1"/>
    </xf>
    <xf numFmtId="170" fontId="7" fillId="0" borderId="1" xfId="2" applyNumberFormat="1" applyFont="1" applyFill="1" applyBorder="1" applyAlignment="1" applyProtection="1">
      <alignment horizontal="center" vertical="center"/>
      <protection hidden="1"/>
    </xf>
    <xf numFmtId="0" fontId="66" fillId="0" borderId="1" xfId="0" applyFont="1" applyBorder="1" applyProtection="1">
      <protection hidden="1"/>
    </xf>
    <xf numFmtId="3" fontId="7" fillId="0" borderId="1" xfId="0" applyNumberFormat="1" applyFont="1" applyBorder="1" applyAlignment="1" applyProtection="1">
      <alignment horizontal="right" vertical="center"/>
      <protection hidden="1"/>
    </xf>
    <xf numFmtId="0" fontId="65" fillId="0" borderId="1" xfId="0" applyFont="1" applyBorder="1" applyAlignment="1" applyProtection="1">
      <alignment horizontal="right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protection hidden="1"/>
    </xf>
    <xf numFmtId="190" fontId="4" fillId="6" borderId="1" xfId="0" applyNumberFormat="1" applyFont="1" applyFill="1" applyBorder="1" applyAlignment="1" applyProtection="1">
      <alignment vertical="center"/>
      <protection locked="0"/>
    </xf>
    <xf numFmtId="3" fontId="4" fillId="6" borderId="1" xfId="0" applyNumberFormat="1" applyFont="1" applyFill="1" applyBorder="1" applyAlignment="1" applyProtection="1">
      <alignment horizontal="right" vertical="center"/>
      <protection locked="0"/>
    </xf>
    <xf numFmtId="186" fontId="4" fillId="6" borderId="1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15" xfId="0" applyFont="1" applyBorder="1" applyAlignment="1" applyProtection="1">
      <alignment horizontal="left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184" fontId="4" fillId="0" borderId="1" xfId="0" applyNumberFormat="1" applyFont="1" applyBorder="1" applyAlignment="1" applyProtection="1">
      <alignment horizontal="left"/>
      <protection hidden="1"/>
    </xf>
    <xf numFmtId="4" fontId="4" fillId="0" borderId="1" xfId="0" applyNumberFormat="1" applyFont="1" applyBorder="1" applyAlignment="1" applyProtection="1">
      <alignment horizontal="righ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left"/>
      <protection hidden="1"/>
    </xf>
    <xf numFmtId="10" fontId="4" fillId="0" borderId="1" xfId="2" applyNumberFormat="1" applyFont="1" applyBorder="1" applyAlignment="1" applyProtection="1">
      <alignment horizontal="right"/>
      <protection hidden="1"/>
    </xf>
    <xf numFmtId="184" fontId="4" fillId="0" borderId="15" xfId="0" applyNumberFormat="1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79" fontId="7" fillId="0" borderId="1" xfId="0" applyNumberFormat="1" applyFont="1" applyBorder="1" applyAlignment="1" applyProtection="1">
      <alignment horizontal="center" vertical="center"/>
      <protection hidden="1"/>
    </xf>
    <xf numFmtId="179" fontId="7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right" vertical="center"/>
      <protection hidden="1"/>
    </xf>
    <xf numFmtId="10" fontId="4" fillId="0" borderId="1" xfId="2" applyNumberFormat="1" applyFont="1" applyBorder="1" applyAlignment="1" applyProtection="1">
      <alignment horizontal="right" vertical="center"/>
      <protection hidden="1"/>
    </xf>
    <xf numFmtId="10" fontId="4" fillId="0" borderId="1" xfId="2" applyNumberFormat="1" applyFont="1" applyFill="1" applyBorder="1" applyAlignment="1" applyProtection="1">
      <alignment horizontal="right" vertical="center"/>
      <protection hidden="1"/>
    </xf>
    <xf numFmtId="10" fontId="4" fillId="0" borderId="8" xfId="2" applyNumberFormat="1" applyFont="1" applyFill="1" applyBorder="1" applyAlignment="1" applyProtection="1">
      <alignment horizontal="right" vertical="center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17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3" fontId="7" fillId="0" borderId="3" xfId="0" applyNumberFormat="1" applyFont="1" applyFill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/>
      <protection hidden="1"/>
    </xf>
    <xf numFmtId="3" fontId="7" fillId="3" borderId="1" xfId="0" applyNumberFormat="1" applyFont="1" applyFill="1" applyBorder="1" applyAlignment="1" applyProtection="1">
      <alignment horizontal="center" vertical="center"/>
      <protection hidden="1"/>
    </xf>
    <xf numFmtId="3" fontId="7" fillId="0" borderId="1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3" fontId="7" fillId="0" borderId="17" xfId="0" applyNumberFormat="1" applyFont="1" applyFill="1" applyBorder="1" applyAlignment="1" applyProtection="1">
      <alignment horizontal="center" vertical="center"/>
      <protection hidden="1"/>
    </xf>
    <xf numFmtId="3" fontId="7" fillId="3" borderId="8" xfId="0" applyNumberFormat="1" applyFont="1" applyFill="1" applyBorder="1" applyAlignment="1" applyProtection="1">
      <alignment horizontal="left" vertical="center" wrapText="1"/>
      <protection hidden="1"/>
    </xf>
    <xf numFmtId="3" fontId="7" fillId="3" borderId="8" xfId="0" applyNumberFormat="1" applyFont="1" applyFill="1" applyBorder="1" applyAlignment="1" applyProtection="1">
      <alignment horizontal="center" vertical="center"/>
      <protection hidden="1"/>
    </xf>
    <xf numFmtId="3" fontId="7" fillId="0" borderId="8" xfId="0" applyNumberFormat="1" applyFont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7" fillId="0" borderId="18" xfId="0" applyNumberFormat="1" applyFont="1" applyFill="1" applyBorder="1" applyAlignment="1" applyProtection="1">
      <alignment horizontal="right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Border="1" applyAlignment="1" applyProtection="1">
      <alignment horizontal="right" vertical="center"/>
      <protection hidden="1"/>
    </xf>
    <xf numFmtId="0" fontId="26" fillId="0" borderId="1" xfId="0" applyFont="1" applyBorder="1" applyAlignment="1" applyProtection="1">
      <alignment vertical="center"/>
      <protection hidden="1"/>
    </xf>
    <xf numFmtId="0" fontId="4" fillId="0" borderId="3" xfId="0" quotePrefix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3" fontId="4" fillId="0" borderId="2" xfId="0" applyNumberFormat="1" applyFont="1" applyBorder="1" applyAlignment="1" applyProtection="1">
      <alignment horizontal="right" vertic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/>
      <protection hidden="1"/>
    </xf>
    <xf numFmtId="14" fontId="4" fillId="0" borderId="3" xfId="0" applyNumberFormat="1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3" fontId="4" fillId="3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right" vertical="center" wrapText="1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right" vertical="center" wrapText="1"/>
      <protection hidden="1"/>
    </xf>
    <xf numFmtId="0" fontId="4" fillId="0" borderId="1" xfId="0" applyFont="1" applyFill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3" fontId="4" fillId="3" borderId="3" xfId="0" applyNumberFormat="1" applyFont="1" applyFill="1" applyBorder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left" vertical="center"/>
      <protection hidden="1"/>
    </xf>
    <xf numFmtId="3" fontId="4" fillId="0" borderId="3" xfId="0" quotePrefix="1" applyNumberFormat="1" applyFont="1" applyFill="1" applyBorder="1" applyAlignment="1" applyProtection="1">
      <alignment horizontal="center" vertical="center"/>
      <protection hidden="1"/>
    </xf>
    <xf numFmtId="3" fontId="67" fillId="0" borderId="1" xfId="0" applyNumberFormat="1" applyFont="1" applyFill="1" applyBorder="1" applyAlignment="1" applyProtection="1">
      <alignment horizontal="left" vertical="justify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right" vertical="center"/>
      <protection hidden="1"/>
    </xf>
    <xf numFmtId="3" fontId="68" fillId="0" borderId="1" xfId="0" applyNumberFormat="1" applyFont="1" applyFill="1" applyBorder="1" applyAlignment="1" applyProtection="1">
      <alignment horizontal="left" vertical="justify"/>
      <protection hidden="1"/>
    </xf>
    <xf numFmtId="3" fontId="4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3" fontId="4" fillId="0" borderId="17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horizontal="left" vertical="center" wrapText="1"/>
      <protection hidden="1"/>
    </xf>
    <xf numFmtId="3" fontId="4" fillId="0" borderId="8" xfId="0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right" vertical="center"/>
      <protection hidden="1"/>
    </xf>
    <xf numFmtId="1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8" xfId="0" applyNumberFormat="1" applyFont="1" applyFill="1" applyBorder="1" applyAlignment="1" applyProtection="1">
      <alignment horizontal="right" vertical="center"/>
      <protection hidden="1"/>
    </xf>
    <xf numFmtId="3" fontId="4" fillId="0" borderId="18" xfId="0" applyNumberFormat="1" applyFont="1" applyFill="1" applyBorder="1" applyAlignment="1" applyProtection="1">
      <alignment horizontal="right" vertical="center"/>
      <protection hidden="1"/>
    </xf>
    <xf numFmtId="3" fontId="4" fillId="0" borderId="3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left" vertical="center" wrapText="1"/>
      <protection hidden="1"/>
    </xf>
    <xf numFmtId="3" fontId="4" fillId="0" borderId="4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left" vertical="center" wrapText="1"/>
      <protection hidden="1"/>
    </xf>
    <xf numFmtId="3" fontId="4" fillId="0" borderId="5" xfId="0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right" vertical="center"/>
      <protection hidden="1"/>
    </xf>
    <xf numFmtId="3" fontId="4" fillId="5" borderId="5" xfId="0" applyNumberFormat="1" applyFont="1" applyFill="1" applyBorder="1" applyAlignment="1" applyProtection="1">
      <alignment horizontal="right" vertical="center"/>
      <protection hidden="1"/>
    </xf>
    <xf numFmtId="3" fontId="4" fillId="0" borderId="10" xfId="0" applyNumberFormat="1" applyFont="1" applyFill="1" applyBorder="1" applyAlignment="1" applyProtection="1">
      <alignment horizontal="right" vertical="center"/>
      <protection hidden="1"/>
    </xf>
    <xf numFmtId="3" fontId="4" fillId="0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center" vertical="center"/>
      <protection hidden="1"/>
    </xf>
    <xf numFmtId="3" fontId="4" fillId="0" borderId="0" xfId="0" applyNumberFormat="1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right" vertical="center"/>
      <protection hidden="1"/>
    </xf>
    <xf numFmtId="0" fontId="4" fillId="2" borderId="0" xfId="0" applyFont="1" applyFill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top" wrapText="1"/>
      <protection hidden="1"/>
    </xf>
    <xf numFmtId="0" fontId="9" fillId="0" borderId="19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178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15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7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0" fontId="3" fillId="0" borderId="5" xfId="0" applyNumberFormat="1" applyFont="1" applyFill="1" applyBorder="1" applyAlignment="1" applyProtection="1">
      <alignment horizontal="center"/>
      <protection hidden="1"/>
    </xf>
    <xf numFmtId="10" fontId="3" fillId="0" borderId="10" xfId="0" applyNumberFormat="1" applyFont="1" applyFill="1" applyBorder="1" applyAlignment="1" applyProtection="1">
      <alignment horizontal="center"/>
      <protection hidden="1"/>
    </xf>
    <xf numFmtId="10" fontId="4" fillId="0" borderId="0" xfId="0" applyNumberFormat="1" applyFont="1" applyFill="1" applyBorder="1" applyAlignment="1" applyProtection="1">
      <alignment horizontal="center"/>
      <protection hidden="1"/>
    </xf>
    <xf numFmtId="182" fontId="7" fillId="0" borderId="0" xfId="0" applyNumberFormat="1" applyFont="1" applyBorder="1" applyAlignment="1" applyProtection="1">
      <alignment horizontal="left" vertical="center" wrapText="1"/>
      <protection hidden="1"/>
    </xf>
    <xf numFmtId="3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78" fontId="4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3" fontId="7" fillId="0" borderId="6" xfId="0" applyNumberFormat="1" applyFont="1" applyBorder="1" applyAlignment="1" applyProtection="1">
      <alignment vertical="center" wrapText="1"/>
      <protection hidden="1"/>
    </xf>
    <xf numFmtId="10" fontId="7" fillId="0" borderId="1" xfId="2" applyNumberFormat="1" applyFont="1" applyBorder="1" applyAlignment="1" applyProtection="1">
      <alignment horizontal="right" vertical="center" wrapText="1"/>
      <protection hidden="1"/>
    </xf>
    <xf numFmtId="3" fontId="7" fillId="0" borderId="22" xfId="0" applyNumberFormat="1" applyFont="1" applyBorder="1" applyAlignment="1" applyProtection="1">
      <alignment vertical="center" wrapText="1"/>
      <protection hidden="1"/>
    </xf>
    <xf numFmtId="0" fontId="7" fillId="0" borderId="1" xfId="0" quotePrefix="1" applyFont="1" applyBorder="1" applyAlignment="1" applyProtection="1">
      <alignment horizontal="center" vertical="center" wrapText="1"/>
      <protection hidden="1"/>
    </xf>
    <xf numFmtId="0" fontId="7" fillId="0" borderId="1" xfId="0" quotePrefix="1" applyFont="1" applyBorder="1" applyAlignment="1" applyProtection="1">
      <alignment horizontal="right" vertical="center" wrapText="1"/>
      <protection hidden="1"/>
    </xf>
    <xf numFmtId="3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3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0" quotePrefix="1" applyFont="1" applyBorder="1" applyAlignment="1" applyProtection="1">
      <alignment horizontal="left" vertical="center" wrapText="1"/>
      <protection hidden="1"/>
    </xf>
    <xf numFmtId="3" fontId="7" fillId="0" borderId="1" xfId="0" quotePrefix="1" applyNumberFormat="1" applyFont="1" applyBorder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25" fillId="0" borderId="0" xfId="0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9" fillId="0" borderId="0" xfId="0" quotePrefix="1" applyFont="1" applyAlignment="1" applyProtection="1">
      <alignment horizontal="right" vertical="justify"/>
      <protection hidden="1"/>
    </xf>
    <xf numFmtId="0" fontId="9" fillId="0" borderId="0" xfId="0" applyFont="1" applyAlignment="1" applyProtection="1">
      <alignment horizontal="left" vertical="justify"/>
      <protection hidden="1"/>
    </xf>
    <xf numFmtId="0" fontId="9" fillId="0" borderId="0" xfId="0" applyFont="1" applyAlignment="1" applyProtection="1">
      <alignment vertical="justify"/>
      <protection hidden="1"/>
    </xf>
    <xf numFmtId="0" fontId="10" fillId="0" borderId="0" xfId="0" applyFont="1" applyProtection="1"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1" fillId="0" borderId="0" xfId="0" applyFont="1" applyAlignment="1" applyProtection="1">
      <alignment horizontal="center"/>
      <protection hidden="1"/>
    </xf>
    <xf numFmtId="0" fontId="32" fillId="0" borderId="0" xfId="0" applyFont="1" applyProtection="1">
      <protection hidden="1"/>
    </xf>
    <xf numFmtId="0" fontId="33" fillId="0" borderId="0" xfId="0" applyFont="1" applyBorder="1" applyAlignment="1" applyProtection="1">
      <alignment horizontal="center"/>
      <protection hidden="1"/>
    </xf>
    <xf numFmtId="0" fontId="32" fillId="0" borderId="0" xfId="0" applyFont="1" applyBorder="1" applyAlignment="1" applyProtection="1">
      <alignment horizontal="center"/>
      <protection hidden="1"/>
    </xf>
    <xf numFmtId="0" fontId="32" fillId="3" borderId="0" xfId="0" applyFont="1" applyFill="1" applyBorder="1" applyAlignment="1" applyProtection="1">
      <alignment horizontal="center"/>
      <protection hidden="1"/>
    </xf>
    <xf numFmtId="176" fontId="4" fillId="0" borderId="23" xfId="0" applyNumberFormat="1" applyFont="1" applyFill="1" applyBorder="1" applyAlignment="1" applyProtection="1">
      <alignment horizontal="center" vertical="center"/>
      <protection hidden="1"/>
    </xf>
    <xf numFmtId="191" fontId="4" fillId="5" borderId="24" xfId="0" applyNumberFormat="1" applyFont="1" applyFill="1" applyBorder="1" applyAlignment="1" applyProtection="1">
      <alignment horizontal="center" vertical="center" wrapText="1"/>
      <protection hidden="1"/>
    </xf>
    <xf numFmtId="193" fontId="4" fillId="0" borderId="21" xfId="0" applyNumberFormat="1" applyFont="1" applyFill="1" applyBorder="1" applyAlignment="1" applyProtection="1">
      <alignment horizontal="center" vertical="center"/>
      <protection hidden="1"/>
    </xf>
    <xf numFmtId="3" fontId="32" fillId="3" borderId="25" xfId="0" applyNumberFormat="1" applyFont="1" applyFill="1" applyBorder="1" applyAlignment="1" applyProtection="1">
      <alignment horizontal="center"/>
      <protection hidden="1"/>
    </xf>
    <xf numFmtId="3" fontId="33" fillId="0" borderId="3" xfId="0" applyNumberFormat="1" applyFont="1" applyBorder="1" applyAlignment="1" applyProtection="1">
      <alignment horizontal="left"/>
      <protection hidden="1"/>
    </xf>
    <xf numFmtId="0" fontId="36" fillId="0" borderId="1" xfId="0" applyFont="1" applyBorder="1" applyAlignment="1" applyProtection="1">
      <alignment horizontal="center"/>
      <protection hidden="1"/>
    </xf>
    <xf numFmtId="3" fontId="33" fillId="0" borderId="1" xfId="0" applyNumberFormat="1" applyFont="1" applyFill="1" applyBorder="1" applyAlignment="1" applyProtection="1">
      <alignment horizontal="center"/>
      <protection hidden="1"/>
    </xf>
    <xf numFmtId="3" fontId="32" fillId="0" borderId="0" xfId="0" applyNumberFormat="1" applyFont="1" applyProtection="1">
      <protection hidden="1"/>
    </xf>
    <xf numFmtId="3" fontId="32" fillId="0" borderId="25" xfId="0" applyNumberFormat="1" applyFont="1" applyBorder="1" applyAlignment="1" applyProtection="1">
      <alignment horizontal="center"/>
      <protection hidden="1"/>
    </xf>
    <xf numFmtId="0" fontId="32" fillId="0" borderId="3" xfId="0" applyFont="1" applyBorder="1" applyAlignment="1" applyProtection="1">
      <alignment horizontal="right"/>
      <protection hidden="1"/>
    </xf>
    <xf numFmtId="3" fontId="32" fillId="2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right"/>
      <protection hidden="1"/>
    </xf>
    <xf numFmtId="3" fontId="32" fillId="0" borderId="3" xfId="0" applyNumberFormat="1" applyFont="1" applyBorder="1" applyAlignment="1" applyProtection="1">
      <alignment horizontal="left"/>
      <protection hidden="1"/>
    </xf>
    <xf numFmtId="3" fontId="32" fillId="3" borderId="1" xfId="0" applyNumberFormat="1" applyFont="1" applyFill="1" applyBorder="1" applyAlignment="1" applyProtection="1">
      <alignment horizontal="center"/>
      <protection hidden="1"/>
    </xf>
    <xf numFmtId="10" fontId="32" fillId="0" borderId="1" xfId="0" applyNumberFormat="1" applyFont="1" applyBorder="1" applyAlignment="1" applyProtection="1">
      <alignment horizontal="center"/>
      <protection hidden="1"/>
    </xf>
    <xf numFmtId="3" fontId="7" fillId="0" borderId="1" xfId="0" applyNumberFormat="1" applyFont="1" applyFill="1" applyBorder="1" applyAlignment="1" applyProtection="1">
      <alignment horizontal="center"/>
      <protection hidden="1"/>
    </xf>
    <xf numFmtId="3" fontId="42" fillId="0" borderId="3" xfId="0" applyNumberFormat="1" applyFont="1" applyBorder="1" applyAlignment="1" applyProtection="1">
      <alignment horizontal="left"/>
      <protection hidden="1"/>
    </xf>
    <xf numFmtId="3" fontId="32" fillId="0" borderId="1" xfId="0" applyNumberFormat="1" applyFont="1" applyFill="1" applyBorder="1" applyAlignment="1" applyProtection="1">
      <alignment horizontal="center"/>
      <protection hidden="1"/>
    </xf>
    <xf numFmtId="3" fontId="32" fillId="0" borderId="2" xfId="0" applyNumberFormat="1" applyFont="1" applyFill="1" applyBorder="1" applyAlignment="1" applyProtection="1">
      <alignment horizontal="center"/>
      <protection hidden="1"/>
    </xf>
    <xf numFmtId="3" fontId="37" fillId="0" borderId="3" xfId="0" applyNumberFormat="1" applyFont="1" applyFill="1" applyBorder="1" applyAlignment="1" applyProtection="1">
      <alignment horizontal="left"/>
      <protection hidden="1"/>
    </xf>
    <xf numFmtId="4" fontId="37" fillId="0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left"/>
      <protection hidden="1"/>
    </xf>
    <xf numFmtId="4" fontId="32" fillId="0" borderId="1" xfId="0" applyNumberFormat="1" applyFont="1" applyFill="1" applyBorder="1" applyAlignment="1" applyProtection="1">
      <alignment horizontal="center"/>
      <protection hidden="1"/>
    </xf>
    <xf numFmtId="171" fontId="69" fillId="3" borderId="1" xfId="0" applyNumberFormat="1" applyFont="1" applyFill="1" applyBorder="1" applyAlignment="1" applyProtection="1">
      <alignment horizontal="center"/>
      <protection hidden="1"/>
    </xf>
    <xf numFmtId="171" fontId="69" fillId="3" borderId="2" xfId="0" applyNumberFormat="1" applyFont="1" applyFill="1" applyBorder="1" applyAlignment="1" applyProtection="1">
      <alignment horizontal="center"/>
      <protection hidden="1"/>
    </xf>
    <xf numFmtId="0" fontId="36" fillId="4" borderId="25" xfId="0" applyFont="1" applyFill="1" applyBorder="1" applyAlignment="1" applyProtection="1">
      <alignment horizontal="center"/>
      <protection hidden="1"/>
    </xf>
    <xf numFmtId="0" fontId="36" fillId="4" borderId="3" xfId="0" applyFont="1" applyFill="1" applyBorder="1" applyAlignment="1" applyProtection="1">
      <alignment horizontal="center"/>
      <protection hidden="1"/>
    </xf>
    <xf numFmtId="0" fontId="36" fillId="4" borderId="1" xfId="0" applyFont="1" applyFill="1" applyBorder="1" applyAlignment="1" applyProtection="1">
      <alignment horizontal="center"/>
      <protection hidden="1"/>
    </xf>
    <xf numFmtId="10" fontId="32" fillId="0" borderId="2" xfId="0" applyNumberFormat="1" applyFont="1" applyBorder="1" applyAlignment="1" applyProtection="1">
      <alignment horizontal="center"/>
      <protection hidden="1"/>
    </xf>
    <xf numFmtId="3" fontId="32" fillId="0" borderId="1" xfId="0" applyNumberFormat="1" applyFont="1" applyBorder="1" applyAlignment="1" applyProtection="1">
      <alignment horizontal="center"/>
      <protection hidden="1"/>
    </xf>
    <xf numFmtId="3" fontId="32" fillId="0" borderId="2" xfId="0" applyNumberFormat="1" applyFont="1" applyBorder="1" applyAlignment="1" applyProtection="1">
      <alignment horizontal="center"/>
      <protection hidden="1"/>
    </xf>
    <xf numFmtId="3" fontId="23" fillId="0" borderId="3" xfId="0" applyNumberFormat="1" applyFont="1" applyBorder="1" applyAlignment="1" applyProtection="1">
      <alignment horizontal="left"/>
      <protection hidden="1"/>
    </xf>
    <xf numFmtId="171" fontId="33" fillId="3" borderId="1" xfId="0" applyNumberFormat="1" applyFont="1" applyFill="1" applyBorder="1" applyAlignment="1" applyProtection="1">
      <alignment horizontal="center"/>
      <protection hidden="1"/>
    </xf>
    <xf numFmtId="171" fontId="33" fillId="3" borderId="2" xfId="0" applyNumberFormat="1" applyFont="1" applyFill="1" applyBorder="1" applyAlignment="1" applyProtection="1">
      <alignment horizontal="center"/>
      <protection hidden="1"/>
    </xf>
    <xf numFmtId="3" fontId="36" fillId="3" borderId="1" xfId="0" applyNumberFormat="1" applyFont="1" applyFill="1" applyBorder="1" applyAlignment="1" applyProtection="1">
      <alignment horizontal="center"/>
      <protection hidden="1"/>
    </xf>
    <xf numFmtId="3" fontId="30" fillId="0" borderId="1" xfId="0" applyNumberFormat="1" applyFont="1" applyFill="1" applyBorder="1" applyAlignment="1" applyProtection="1">
      <alignment horizontal="center"/>
      <protection hidden="1"/>
    </xf>
    <xf numFmtId="0" fontId="32" fillId="0" borderId="26" xfId="0" applyFont="1" applyBorder="1" applyProtection="1">
      <protection hidden="1"/>
    </xf>
    <xf numFmtId="0" fontId="32" fillId="0" borderId="0" xfId="0" applyFont="1" applyBorder="1" applyProtection="1">
      <protection hidden="1"/>
    </xf>
    <xf numFmtId="0" fontId="32" fillId="0" borderId="0" xfId="0" applyFont="1" applyAlignment="1" applyProtection="1">
      <alignment vertical="center"/>
      <protection hidden="1"/>
    </xf>
    <xf numFmtId="0" fontId="39" fillId="0" borderId="0" xfId="0" applyFont="1" applyProtection="1">
      <protection hidden="1"/>
    </xf>
    <xf numFmtId="0" fontId="32" fillId="0" borderId="0" xfId="0" applyFont="1" applyFill="1" applyProtection="1"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176" fontId="18" fillId="0" borderId="23" xfId="0" applyNumberFormat="1" applyFont="1" applyFill="1" applyBorder="1" applyAlignment="1" applyProtection="1">
      <alignment horizontal="center" vertical="center"/>
      <protection hidden="1"/>
    </xf>
    <xf numFmtId="191" fontId="18" fillId="5" borderId="24" xfId="0" applyNumberFormat="1" applyFont="1" applyFill="1" applyBorder="1" applyAlignment="1" applyProtection="1">
      <alignment horizontal="center" vertical="center" wrapText="1"/>
      <protection hidden="1"/>
    </xf>
    <xf numFmtId="193" fontId="18" fillId="0" borderId="21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0" fontId="12" fillId="4" borderId="8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Border="1" applyAlignment="1" applyProtection="1">
      <alignment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Border="1" applyAlignment="1" applyProtection="1">
      <alignment vertical="center"/>
      <protection hidden="1"/>
    </xf>
    <xf numFmtId="0" fontId="70" fillId="0" borderId="1" xfId="0" applyFont="1" applyBorder="1" applyAlignment="1" applyProtection="1">
      <alignment vertical="center"/>
      <protection hidden="1"/>
    </xf>
    <xf numFmtId="3" fontId="7" fillId="0" borderId="1" xfId="0" applyNumberFormat="1" applyFont="1" applyFill="1" applyBorder="1" applyAlignment="1" applyProtection="1">
      <alignment vertical="center"/>
      <protection hidden="1"/>
    </xf>
    <xf numFmtId="3" fontId="4" fillId="0" borderId="1" xfId="0" applyNumberFormat="1" applyFont="1" applyFill="1" applyBorder="1" applyAlignment="1" applyProtection="1">
      <alignment vertical="center"/>
      <protection hidden="1"/>
    </xf>
    <xf numFmtId="10" fontId="7" fillId="5" borderId="1" xfId="2" applyNumberFormat="1" applyFont="1" applyFill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vertical="center"/>
      <protection hidden="1"/>
    </xf>
    <xf numFmtId="0" fontId="40" fillId="0" borderId="20" xfId="0" applyFont="1" applyBorder="1" applyAlignment="1" applyProtection="1">
      <alignment vertical="center"/>
      <protection hidden="1"/>
    </xf>
    <xf numFmtId="165" fontId="12" fillId="0" borderId="20" xfId="0" applyNumberFormat="1" applyFont="1" applyFill="1" applyBorder="1" applyAlignment="1" applyProtection="1">
      <alignment vertical="center"/>
      <protection hidden="1"/>
    </xf>
    <xf numFmtId="165" fontId="12" fillId="0" borderId="24" xfId="0" applyNumberFormat="1" applyFont="1" applyFill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Fill="1" applyBorder="1" applyAlignment="1" applyProtection="1">
      <alignment vertical="center"/>
      <protection hidden="1"/>
    </xf>
    <xf numFmtId="0" fontId="72" fillId="3" borderId="1" xfId="0" applyFont="1" applyFill="1" applyBorder="1" applyAlignment="1" applyProtection="1">
      <alignment vertical="center"/>
      <protection hidden="1"/>
    </xf>
    <xf numFmtId="0" fontId="65" fillId="3" borderId="1" xfId="0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3" fontId="4" fillId="0" borderId="0" xfId="0" applyNumberFormat="1" applyFont="1" applyAlignment="1" applyProtection="1">
      <alignment vertical="center"/>
      <protection hidden="1"/>
    </xf>
    <xf numFmtId="1" fontId="4" fillId="0" borderId="0" xfId="0" applyNumberFormat="1" applyFont="1" applyAlignment="1" applyProtection="1">
      <alignment vertical="center"/>
      <protection hidden="1"/>
    </xf>
    <xf numFmtId="0" fontId="4" fillId="6" borderId="1" xfId="0" applyFont="1" applyFill="1" applyBorder="1" applyAlignment="1" applyProtection="1">
      <alignment horizontal="right" vertical="center"/>
      <protection hidden="1"/>
    </xf>
    <xf numFmtId="195" fontId="7" fillId="5" borderId="1" xfId="0" applyNumberFormat="1" applyFont="1" applyFill="1" applyBorder="1" applyAlignment="1" applyProtection="1">
      <alignment vertical="center"/>
      <protection hidden="1"/>
    </xf>
    <xf numFmtId="198" fontId="7" fillId="5" borderId="1" xfId="0" applyNumberFormat="1" applyFont="1" applyFill="1" applyBorder="1" applyAlignment="1" applyProtection="1">
      <alignment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170" fontId="18" fillId="0" borderId="1" xfId="2" applyNumberFormat="1" applyFont="1" applyFill="1" applyBorder="1" applyAlignment="1" applyProtection="1">
      <alignment vertical="center"/>
      <protection hidden="1"/>
    </xf>
    <xf numFmtId="10" fontId="18" fillId="0" borderId="1" xfId="2" applyNumberFormat="1" applyFont="1" applyFill="1" applyBorder="1" applyAlignment="1" applyProtection="1">
      <alignment vertical="center"/>
      <protection hidden="1"/>
    </xf>
    <xf numFmtId="10" fontId="4" fillId="0" borderId="1" xfId="2" applyNumberFormat="1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Fill="1" applyBorder="1" applyAlignment="1" applyProtection="1">
      <alignment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3" fontId="71" fillId="3" borderId="1" xfId="0" applyNumberFormat="1" applyFont="1" applyFill="1" applyBorder="1" applyAlignment="1" applyProtection="1">
      <alignment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96" fontId="7" fillId="5" borderId="1" xfId="0" applyNumberFormat="1" applyFont="1" applyFill="1" applyBorder="1" applyAlignment="1" applyProtection="1">
      <alignment vertical="center"/>
      <protection hidden="1"/>
    </xf>
    <xf numFmtId="197" fontId="7" fillId="5" borderId="1" xfId="0" applyNumberFormat="1" applyFont="1" applyFill="1" applyBorder="1" applyAlignment="1" applyProtection="1">
      <alignment vertical="center"/>
      <protection hidden="1"/>
    </xf>
    <xf numFmtId="170" fontId="14" fillId="0" borderId="1" xfId="2" applyNumberFormat="1" applyFont="1" applyFill="1" applyBorder="1" applyAlignment="1" applyProtection="1">
      <alignment vertical="center"/>
      <protection hidden="1"/>
    </xf>
    <xf numFmtId="0" fontId="73" fillId="0" borderId="1" xfId="0" applyFont="1" applyBorder="1" applyAlignment="1" applyProtection="1">
      <alignment horizontal="right" vertical="center"/>
      <protection hidden="1"/>
    </xf>
    <xf numFmtId="0" fontId="73" fillId="0" borderId="1" xfId="0" applyFont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horizontal="right" vertical="center"/>
      <protection hidden="1"/>
    </xf>
    <xf numFmtId="0" fontId="55" fillId="0" borderId="1" xfId="0" applyFont="1" applyBorder="1" applyAlignment="1" applyProtection="1">
      <alignment horizontal="right" vertical="center"/>
      <protection hidden="1"/>
    </xf>
    <xf numFmtId="0" fontId="18" fillId="3" borderId="1" xfId="0" applyFont="1" applyFill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right"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right" vertic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2" fontId="75" fillId="0" borderId="1" xfId="0" applyNumberFormat="1" applyFont="1" applyBorder="1" applyAlignment="1" applyProtection="1">
      <alignment vertical="center"/>
      <protection hidden="1"/>
    </xf>
    <xf numFmtId="0" fontId="48" fillId="0" borderId="1" xfId="0" applyFont="1" applyBorder="1" applyAlignment="1" applyProtection="1">
      <alignment horizontal="right" vertical="center"/>
      <protection hidden="1"/>
    </xf>
    <xf numFmtId="2" fontId="63" fillId="0" borderId="1" xfId="0" applyNumberFormat="1" applyFont="1" applyBorder="1" applyAlignment="1" applyProtection="1">
      <alignment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horizontal="center" vertical="center"/>
      <protection hidden="1"/>
    </xf>
    <xf numFmtId="3" fontId="13" fillId="0" borderId="6" xfId="0" applyNumberFormat="1" applyFont="1" applyFill="1" applyBorder="1" applyAlignment="1" applyProtection="1">
      <alignment vertical="center"/>
      <protection hidden="1"/>
    </xf>
    <xf numFmtId="0" fontId="76" fillId="0" borderId="1" xfId="0" applyFont="1" applyBorder="1" applyAlignment="1" applyProtection="1">
      <alignment vertical="center"/>
      <protection hidden="1"/>
    </xf>
    <xf numFmtId="4" fontId="54" fillId="0" borderId="6" xfId="0" applyNumberFormat="1" applyFont="1" applyFill="1" applyBorder="1" applyAlignment="1" applyProtection="1">
      <alignment vertical="center"/>
      <protection hidden="1"/>
    </xf>
    <xf numFmtId="0" fontId="71" fillId="0" borderId="1" xfId="0" applyFont="1" applyBorder="1" applyAlignment="1" applyProtection="1">
      <alignment vertical="center"/>
      <protection hidden="1"/>
    </xf>
    <xf numFmtId="4" fontId="63" fillId="0" borderId="8" xfId="0" applyNumberFormat="1" applyFont="1" applyBorder="1" applyAlignment="1" applyProtection="1">
      <alignment vertical="center"/>
      <protection hidden="1"/>
    </xf>
    <xf numFmtId="3" fontId="77" fillId="0" borderId="8" xfId="0" applyNumberFormat="1" applyFont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vertical="center"/>
      <protection hidden="1"/>
    </xf>
    <xf numFmtId="0" fontId="7" fillId="3" borderId="3" xfId="0" applyFont="1" applyFill="1" applyBorder="1" applyAlignment="1" applyProtection="1">
      <alignment horizontal="center" vertical="center"/>
      <protection hidden="1"/>
    </xf>
    <xf numFmtId="4" fontId="78" fillId="0" borderId="1" xfId="0" applyNumberFormat="1" applyFont="1" applyBorder="1" applyAlignment="1" applyProtection="1">
      <alignment vertical="center"/>
      <protection hidden="1"/>
    </xf>
    <xf numFmtId="201" fontId="4" fillId="6" borderId="1" xfId="0" applyNumberFormat="1" applyFont="1" applyFill="1" applyBorder="1" applyAlignment="1" applyProtection="1">
      <alignment horizontal="left" vertical="center"/>
      <protection hidden="1"/>
    </xf>
    <xf numFmtId="2" fontId="4" fillId="0" borderId="1" xfId="0" applyNumberFormat="1" applyFont="1" applyBorder="1" applyAlignment="1" applyProtection="1">
      <alignment vertical="center"/>
      <protection hidden="1"/>
    </xf>
    <xf numFmtId="3" fontId="4" fillId="3" borderId="21" xfId="0" applyNumberFormat="1" applyFont="1" applyFill="1" applyBorder="1" applyAlignment="1" applyProtection="1">
      <alignment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2" fontId="57" fillId="0" borderId="1" xfId="0" applyNumberFormat="1" applyFont="1" applyBorder="1" applyAlignment="1" applyProtection="1">
      <alignment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2" fontId="79" fillId="0" borderId="8" xfId="0" applyNumberFormat="1" applyFont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3" fontId="4" fillId="6" borderId="1" xfId="0" applyNumberFormat="1" applyFont="1" applyFill="1" applyBorder="1" applyAlignment="1" applyProtection="1">
      <alignment vertical="center"/>
      <protection locked="0"/>
    </xf>
    <xf numFmtId="3" fontId="4" fillId="2" borderId="2" xfId="0" applyNumberFormat="1" applyFont="1" applyFill="1" applyBorder="1" applyAlignment="1" applyProtection="1">
      <alignment vertical="center"/>
      <protection locked="0"/>
    </xf>
    <xf numFmtId="4" fontId="4" fillId="6" borderId="1" xfId="0" applyNumberFormat="1" applyFont="1" applyFill="1" applyBorder="1" applyAlignment="1" applyProtection="1">
      <alignment vertical="center"/>
      <protection locked="0"/>
    </xf>
    <xf numFmtId="0" fontId="10" fillId="6" borderId="1" xfId="0" applyFont="1" applyFill="1" applyBorder="1" applyAlignment="1" applyProtection="1">
      <alignment horizontal="right" vertical="center"/>
      <protection locked="0"/>
    </xf>
    <xf numFmtId="199" fontId="7" fillId="6" borderId="1" xfId="0" applyNumberFormat="1" applyFont="1" applyFill="1" applyBorder="1" applyAlignment="1" applyProtection="1">
      <alignment vertical="center"/>
      <protection locked="0"/>
    </xf>
    <xf numFmtId="0" fontId="4" fillId="6" borderId="1" xfId="0" applyFont="1" applyFill="1" applyBorder="1" applyAlignment="1" applyProtection="1">
      <alignment horizontal="right" vertical="center"/>
      <protection locked="0"/>
    </xf>
    <xf numFmtId="3" fontId="71" fillId="0" borderId="2" xfId="0" applyNumberFormat="1" applyFont="1" applyBorder="1" applyAlignment="1" applyProtection="1">
      <alignment vertical="center"/>
      <protection hidden="1"/>
    </xf>
    <xf numFmtId="3" fontId="4" fillId="0" borderId="2" xfId="0" applyNumberFormat="1" applyFont="1" applyBorder="1" applyAlignment="1" applyProtection="1">
      <alignment vertical="center"/>
      <protection hidden="1"/>
    </xf>
    <xf numFmtId="3" fontId="7" fillId="0" borderId="2" xfId="0" applyNumberFormat="1" applyFont="1" applyFill="1" applyBorder="1" applyAlignment="1" applyProtection="1">
      <alignment vertical="center"/>
      <protection hidden="1"/>
    </xf>
    <xf numFmtId="3" fontId="7" fillId="2" borderId="2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hidden="1"/>
    </xf>
    <xf numFmtId="10" fontId="7" fillId="5" borderId="2" xfId="2" applyNumberFormat="1" applyFont="1" applyFill="1" applyBorder="1" applyAlignment="1" applyProtection="1">
      <alignment vertical="center"/>
      <protection hidden="1"/>
    </xf>
    <xf numFmtId="3" fontId="4" fillId="5" borderId="2" xfId="0" applyNumberFormat="1" applyFont="1" applyFill="1" applyBorder="1" applyAlignment="1" applyProtection="1">
      <alignment vertical="center"/>
      <protection hidden="1"/>
    </xf>
    <xf numFmtId="3" fontId="62" fillId="2" borderId="2" xfId="0" applyNumberFormat="1" applyFont="1" applyFill="1" applyBorder="1" applyAlignment="1" applyProtection="1">
      <alignment vertical="center"/>
      <protection locked="0"/>
    </xf>
    <xf numFmtId="170" fontId="18" fillId="0" borderId="2" xfId="2" applyNumberFormat="1" applyFont="1" applyFill="1" applyBorder="1" applyAlignment="1" applyProtection="1">
      <alignment vertical="center"/>
      <protection hidden="1"/>
    </xf>
    <xf numFmtId="10" fontId="4" fillId="0" borderId="2" xfId="2" applyNumberFormat="1" applyFont="1" applyBorder="1" applyAlignment="1" applyProtection="1">
      <alignment vertical="center"/>
      <protection hidden="1"/>
    </xf>
    <xf numFmtId="4" fontId="13" fillId="0" borderId="2" xfId="0" applyNumberFormat="1" applyFont="1" applyFill="1" applyBorder="1" applyAlignment="1" applyProtection="1">
      <alignment vertical="center"/>
      <protection hidden="1"/>
    </xf>
    <xf numFmtId="3" fontId="71" fillId="3" borderId="2" xfId="0" applyNumberFormat="1" applyFont="1" applyFill="1" applyBorder="1" applyAlignment="1" applyProtection="1">
      <alignment vertical="center"/>
      <protection hidden="1"/>
    </xf>
    <xf numFmtId="170" fontId="14" fillId="0" borderId="2" xfId="2" applyNumberFormat="1" applyFont="1" applyFill="1" applyBorder="1" applyAlignment="1" applyProtection="1">
      <alignment vertical="center"/>
      <protection hidden="1"/>
    </xf>
    <xf numFmtId="4" fontId="4" fillId="0" borderId="2" xfId="0" applyNumberFormat="1" applyFont="1" applyBorder="1" applyAlignment="1" applyProtection="1">
      <alignment vertical="center"/>
      <protection hidden="1"/>
    </xf>
    <xf numFmtId="3" fontId="4" fillId="6" borderId="2" xfId="0" applyNumberFormat="1" applyFont="1" applyFill="1" applyBorder="1" applyAlignment="1" applyProtection="1">
      <alignment vertical="center"/>
      <protection locked="0"/>
    </xf>
    <xf numFmtId="4" fontId="4" fillId="6" borderId="2" xfId="0" applyNumberFormat="1" applyFont="1" applyFill="1" applyBorder="1" applyAlignment="1" applyProtection="1">
      <alignment vertical="center"/>
      <protection locked="0"/>
    </xf>
    <xf numFmtId="2" fontId="75" fillId="0" borderId="2" xfId="0" applyNumberFormat="1" applyFont="1" applyBorder="1" applyAlignment="1" applyProtection="1">
      <alignment vertical="center"/>
      <protection hidden="1"/>
    </xf>
    <xf numFmtId="2" fontId="63" fillId="0" borderId="2" xfId="0" applyNumberFormat="1" applyFont="1" applyBorder="1" applyAlignment="1" applyProtection="1">
      <alignment vertical="center"/>
      <protection hidden="1"/>
    </xf>
    <xf numFmtId="3" fontId="4" fillId="0" borderId="18" xfId="0" applyNumberFormat="1" applyFont="1" applyFill="1" applyBorder="1" applyAlignment="1" applyProtection="1">
      <alignment vertical="center"/>
      <protection hidden="1"/>
    </xf>
    <xf numFmtId="3" fontId="13" fillId="0" borderId="28" xfId="0" applyNumberFormat="1" applyFont="1" applyFill="1" applyBorder="1" applyAlignment="1" applyProtection="1">
      <alignment vertical="center"/>
      <protection hidden="1"/>
    </xf>
    <xf numFmtId="4" fontId="54" fillId="0" borderId="28" xfId="0" applyNumberFormat="1" applyFont="1" applyFill="1" applyBorder="1" applyAlignment="1" applyProtection="1">
      <alignment vertical="center"/>
      <protection hidden="1"/>
    </xf>
    <xf numFmtId="4" fontId="63" fillId="0" borderId="18" xfId="0" applyNumberFormat="1" applyFont="1" applyBorder="1" applyAlignment="1" applyProtection="1">
      <alignment vertical="center"/>
      <protection hidden="1"/>
    </xf>
    <xf numFmtId="3" fontId="77" fillId="0" borderId="18" xfId="0" applyNumberFormat="1" applyFont="1" applyBorder="1" applyAlignment="1" applyProtection="1">
      <alignment vertical="center"/>
      <protection hidden="1"/>
    </xf>
    <xf numFmtId="3" fontId="4" fillId="3" borderId="18" xfId="0" applyNumberFormat="1" applyFont="1" applyFill="1" applyBorder="1" applyAlignment="1" applyProtection="1">
      <alignment vertical="center"/>
      <protection hidden="1"/>
    </xf>
    <xf numFmtId="4" fontId="78" fillId="0" borderId="2" xfId="0" applyNumberFormat="1" applyFont="1" applyBorder="1" applyAlignment="1" applyProtection="1">
      <alignment vertical="center"/>
      <protection hidden="1"/>
    </xf>
    <xf numFmtId="2" fontId="4" fillId="0" borderId="2" xfId="0" applyNumberFormat="1" applyFont="1" applyBorder="1" applyAlignment="1" applyProtection="1">
      <alignment vertical="center"/>
      <protection hidden="1"/>
    </xf>
    <xf numFmtId="0" fontId="70" fillId="0" borderId="0" xfId="0" applyFont="1" applyBorder="1" applyAlignment="1" applyProtection="1">
      <alignment vertical="center"/>
      <protection hidden="1"/>
    </xf>
    <xf numFmtId="2" fontId="57" fillId="0" borderId="2" xfId="0" applyNumberFormat="1" applyFont="1" applyBorder="1" applyAlignment="1" applyProtection="1">
      <alignment vertical="center"/>
      <protection hidden="1"/>
    </xf>
    <xf numFmtId="2" fontId="79" fillId="0" borderId="18" xfId="0" applyNumberFormat="1" applyFont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168" fontId="4" fillId="0" borderId="5" xfId="0" applyNumberFormat="1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2" fontId="80" fillId="0" borderId="29" xfId="0" applyNumberFormat="1" applyFont="1" applyBorder="1" applyAlignment="1" applyProtection="1">
      <alignment vertical="center"/>
      <protection hidden="1"/>
    </xf>
    <xf numFmtId="2" fontId="80" fillId="0" borderId="30" xfId="0" applyNumberFormat="1" applyFont="1" applyBorder="1" applyAlignment="1" applyProtection="1">
      <alignment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81" fillId="0" borderId="8" xfId="0" applyFont="1" applyFill="1" applyBorder="1" applyAlignment="1" applyProtection="1">
      <alignment vertical="center"/>
      <protection hidden="1"/>
    </xf>
    <xf numFmtId="0" fontId="15" fillId="0" borderId="8" xfId="0" applyFont="1" applyFill="1" applyBorder="1" applyAlignment="1" applyProtection="1">
      <alignment horizontal="center" vertical="center"/>
      <protection hidden="1"/>
    </xf>
    <xf numFmtId="0" fontId="12" fillId="0" borderId="8" xfId="0" applyFont="1" applyFill="1" applyBorder="1" applyAlignment="1" applyProtection="1">
      <alignment horizontal="center" vertical="center"/>
      <protection hidden="1"/>
    </xf>
    <xf numFmtId="0" fontId="51" fillId="0" borderId="5" xfId="0" applyFont="1" applyBorder="1" applyAlignment="1" applyProtection="1">
      <alignment horizontal="right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4" fontId="14" fillId="0" borderId="5" xfId="0" applyNumberFormat="1" applyFont="1" applyFill="1" applyBorder="1" applyAlignment="1" applyProtection="1">
      <alignment vertical="center"/>
      <protection hidden="1"/>
    </xf>
    <xf numFmtId="4" fontId="14" fillId="0" borderId="10" xfId="0" applyNumberFormat="1" applyFont="1" applyFill="1" applyBorder="1" applyAlignment="1" applyProtection="1">
      <alignment vertical="center"/>
      <protection hidden="1"/>
    </xf>
    <xf numFmtId="0" fontId="52" fillId="0" borderId="8" xfId="0" applyFont="1" applyFill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left" vertical="center"/>
      <protection hidden="1"/>
    </xf>
    <xf numFmtId="168" fontId="4" fillId="0" borderId="0" xfId="0" applyNumberFormat="1" applyFont="1" applyBorder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right" vertical="center"/>
      <protection hidden="1"/>
    </xf>
    <xf numFmtId="166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5" borderId="1" xfId="2" applyNumberFormat="1" applyFont="1" applyFill="1" applyBorder="1" applyAlignment="1" applyProtection="1">
      <alignment horizontal="center" vertical="center"/>
      <protection locked="0"/>
    </xf>
    <xf numFmtId="166" fontId="4" fillId="5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170" fontId="4" fillId="0" borderId="13" xfId="2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left" vertical="center"/>
      <protection hidden="1"/>
    </xf>
    <xf numFmtId="203" fontId="4" fillId="0" borderId="31" xfId="0" applyNumberFormat="1" applyFont="1" applyBorder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8" fillId="2" borderId="1" xfId="0" applyFont="1" applyFill="1" applyBorder="1" applyAlignment="1" applyProtection="1">
      <alignment horizontal="left" vertical="center"/>
      <protection locked="0"/>
    </xf>
    <xf numFmtId="0" fontId="58" fillId="2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vertical="center"/>
    </xf>
    <xf numFmtId="1" fontId="4" fillId="0" borderId="0" xfId="0" applyNumberFormat="1" applyFont="1" applyAlignment="1" applyProtection="1">
      <alignment horizontal="center" vertical="center"/>
      <protection hidden="1"/>
    </xf>
    <xf numFmtId="206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2" applyNumberFormat="1" applyFont="1" applyAlignment="1" applyProtection="1">
      <alignment horizontal="center" vertical="center"/>
      <protection hidden="1"/>
    </xf>
    <xf numFmtId="205" fontId="4" fillId="0" borderId="0" xfId="0" applyNumberFormat="1" applyFont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center" vertical="center"/>
      <protection hidden="1"/>
    </xf>
    <xf numFmtId="204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horizontal="justify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0" fontId="4" fillId="0" borderId="1" xfId="2" applyNumberFormat="1" applyFont="1" applyBorder="1" applyProtection="1">
      <protection hidden="1"/>
    </xf>
    <xf numFmtId="168" fontId="0" fillId="0" borderId="0" xfId="0" applyNumberFormat="1"/>
    <xf numFmtId="167" fontId="4" fillId="0" borderId="1" xfId="2" applyNumberFormat="1" applyFont="1" applyBorder="1" applyAlignment="1" applyProtection="1">
      <alignment vertical="center"/>
    </xf>
    <xf numFmtId="3" fontId="4" fillId="0" borderId="1" xfId="0" applyNumberFormat="1" applyFont="1" applyBorder="1" applyAlignment="1" applyProtection="1">
      <alignment horizontal="right"/>
      <protection hidden="1"/>
    </xf>
    <xf numFmtId="10" fontId="71" fillId="0" borderId="0" xfId="0" applyNumberFormat="1" applyFont="1" applyProtection="1">
      <protection hidden="1"/>
    </xf>
    <xf numFmtId="0" fontId="7" fillId="0" borderId="0" xfId="0" applyFont="1" applyBorder="1" applyAlignment="1" applyProtection="1">
      <alignment vertical="top"/>
      <protection hidden="1"/>
    </xf>
    <xf numFmtId="0" fontId="7" fillId="0" borderId="0" xfId="0" applyFont="1" applyBorder="1" applyAlignment="1" applyProtection="1">
      <alignment vertical="center"/>
      <protection hidden="1"/>
    </xf>
    <xf numFmtId="173" fontId="4" fillId="0" borderId="2" xfId="0" applyNumberFormat="1" applyFont="1" applyFill="1" applyBorder="1" applyAlignment="1" applyProtection="1">
      <alignment horizontal="center" vertical="center"/>
      <protection hidden="1"/>
    </xf>
    <xf numFmtId="3" fontId="4" fillId="5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32" xfId="0" applyFont="1" applyBorder="1" applyAlignment="1" applyProtection="1">
      <alignment horizontal="center" vertical="center"/>
    </xf>
    <xf numFmtId="1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4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3" fontId="4" fillId="0" borderId="10" xfId="0" applyNumberFormat="1" applyFont="1" applyFill="1" applyBorder="1" applyAlignment="1" applyProtection="1">
      <alignment horizontal="right" vertical="center" wrapText="1"/>
      <protection hidden="1"/>
    </xf>
    <xf numFmtId="214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194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8" xfId="0" applyFont="1" applyFill="1" applyBorder="1" applyAlignment="1" applyProtection="1">
      <alignment horizontal="center" vertical="center"/>
      <protection hidden="1"/>
    </xf>
    <xf numFmtId="194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3" fontId="33" fillId="0" borderId="2" xfId="0" applyNumberFormat="1" applyFont="1" applyFill="1" applyBorder="1" applyAlignment="1" applyProtection="1">
      <alignment horizontal="center"/>
      <protection hidden="1"/>
    </xf>
    <xf numFmtId="3" fontId="7" fillId="2" borderId="2" xfId="0" applyNumberFormat="1" applyFont="1" applyFill="1" applyBorder="1" applyAlignment="1" applyProtection="1">
      <alignment horizontal="center"/>
      <protection locked="0"/>
    </xf>
    <xf numFmtId="3" fontId="7" fillId="0" borderId="2" xfId="0" applyNumberFormat="1" applyFont="1" applyFill="1" applyBorder="1" applyAlignment="1" applyProtection="1">
      <alignment horizontal="center"/>
      <protection hidden="1"/>
    </xf>
    <xf numFmtId="4" fontId="37" fillId="0" borderId="2" xfId="0" applyNumberFormat="1" applyFont="1" applyFill="1" applyBorder="1" applyAlignment="1" applyProtection="1">
      <alignment horizontal="center"/>
      <protection hidden="1"/>
    </xf>
    <xf numFmtId="4" fontId="32" fillId="0" borderId="2" xfId="0" applyNumberFormat="1" applyFont="1" applyFill="1" applyBorder="1" applyAlignment="1" applyProtection="1">
      <alignment horizontal="center"/>
      <protection hidden="1"/>
    </xf>
    <xf numFmtId="3" fontId="32" fillId="0" borderId="34" xfId="0" applyNumberFormat="1" applyFont="1" applyBorder="1" applyAlignment="1" applyProtection="1">
      <alignment horizontal="center"/>
      <protection hidden="1"/>
    </xf>
    <xf numFmtId="3" fontId="32" fillId="3" borderId="4" xfId="0" applyNumberFormat="1" applyFont="1" applyFill="1" applyBorder="1" applyAlignment="1" applyProtection="1">
      <alignment horizontal="left"/>
      <protection hidden="1"/>
    </xf>
    <xf numFmtId="0" fontId="32" fillId="0" borderId="5" xfId="0" applyFont="1" applyBorder="1" applyAlignment="1" applyProtection="1">
      <alignment horizontal="center"/>
      <protection hidden="1"/>
    </xf>
    <xf numFmtId="172" fontId="32" fillId="3" borderId="5" xfId="0" applyNumberFormat="1" applyFont="1" applyFill="1" applyBorder="1" applyAlignment="1" applyProtection="1">
      <alignment horizontal="center"/>
      <protection hidden="1"/>
    </xf>
    <xf numFmtId="172" fontId="32" fillId="3" borderId="10" xfId="0" applyNumberFormat="1" applyFont="1" applyFill="1" applyBorder="1" applyAlignment="1" applyProtection="1">
      <alignment horizontal="center"/>
      <protection hidden="1"/>
    </xf>
    <xf numFmtId="190" fontId="12" fillId="6" borderId="1" xfId="0" applyNumberFormat="1" applyFont="1" applyFill="1" applyBorder="1" applyAlignment="1" applyProtection="1">
      <alignment vertical="center"/>
      <protection locked="0"/>
    </xf>
    <xf numFmtId="215" fontId="4" fillId="0" borderId="1" xfId="0" applyNumberFormat="1" applyFont="1" applyBorder="1" applyAlignment="1" applyProtection="1">
      <alignment vertical="top" wrapText="1"/>
      <protection hidden="1"/>
    </xf>
    <xf numFmtId="215" fontId="4" fillId="0" borderId="1" xfId="0" applyNumberFormat="1" applyFont="1" applyBorder="1" applyAlignment="1" applyProtection="1">
      <alignment vertical="top"/>
      <protection hidden="1"/>
    </xf>
    <xf numFmtId="215" fontId="4" fillId="0" borderId="1" xfId="0" applyNumberFormat="1" applyFont="1" applyBorder="1" applyAlignment="1" applyProtection="1">
      <alignment vertical="center"/>
      <protection hidden="1"/>
    </xf>
    <xf numFmtId="190" fontId="12" fillId="6" borderId="1" xfId="0" applyNumberFormat="1" applyFont="1" applyFill="1" applyBorder="1" applyAlignment="1" applyProtection="1">
      <alignment horizontal="center" vertical="top" wrapText="1"/>
      <protection locked="0"/>
    </xf>
    <xf numFmtId="3" fontId="30" fillId="3" borderId="3" xfId="0" applyNumberFormat="1" applyFont="1" applyFill="1" applyBorder="1" applyAlignment="1" applyProtection="1">
      <alignment horizontal="left" vertical="center"/>
      <protection hidden="1"/>
    </xf>
    <xf numFmtId="3" fontId="33" fillId="0" borderId="3" xfId="0" applyNumberFormat="1" applyFont="1" applyBorder="1" applyAlignment="1" applyProtection="1">
      <alignment horizontal="left" vertical="center"/>
      <protection hidden="1"/>
    </xf>
    <xf numFmtId="3" fontId="32" fillId="0" borderId="0" xfId="0" applyNumberFormat="1" applyFont="1" applyBorder="1" applyAlignment="1" applyProtection="1">
      <alignment horizontal="center"/>
      <protection hidden="1"/>
    </xf>
    <xf numFmtId="0" fontId="32" fillId="0" borderId="0" xfId="0" applyFont="1" applyFill="1" applyBorder="1" applyAlignment="1" applyProtection="1">
      <alignment horizontal="right"/>
      <protection hidden="1"/>
    </xf>
    <xf numFmtId="3" fontId="36" fillId="3" borderId="0" xfId="0" applyNumberFormat="1" applyFont="1" applyFill="1" applyBorder="1" applyAlignment="1" applyProtection="1">
      <alignment horizontal="center"/>
      <protection hidden="1"/>
    </xf>
    <xf numFmtId="3" fontId="30" fillId="0" borderId="2" xfId="0" applyNumberFormat="1" applyFont="1" applyFill="1" applyBorder="1" applyAlignment="1" applyProtection="1">
      <alignment horizontal="center"/>
      <protection hidden="1"/>
    </xf>
    <xf numFmtId="3" fontId="32" fillId="2" borderId="2" xfId="0" applyNumberFormat="1" applyFont="1" applyFill="1" applyBorder="1" applyAlignment="1" applyProtection="1">
      <alignment horizontal="center"/>
      <protection hidden="1"/>
    </xf>
    <xf numFmtId="3" fontId="36" fillId="3" borderId="5" xfId="0" applyNumberFormat="1" applyFont="1" applyFill="1" applyBorder="1" applyAlignment="1" applyProtection="1">
      <alignment horizontal="center"/>
      <protection hidden="1"/>
    </xf>
    <xf numFmtId="3" fontId="36" fillId="3" borderId="13" xfId="0" applyNumberFormat="1" applyFont="1" applyFill="1" applyBorder="1" applyAlignment="1" applyProtection="1">
      <alignment horizontal="center"/>
      <protection hidden="1"/>
    </xf>
    <xf numFmtId="3" fontId="32" fillId="2" borderId="13" xfId="0" applyNumberFormat="1" applyFont="1" applyFill="1" applyBorder="1" applyAlignment="1" applyProtection="1">
      <alignment horizontal="center"/>
      <protection hidden="1"/>
    </xf>
    <xf numFmtId="3" fontId="32" fillId="2" borderId="35" xfId="0" applyNumberFormat="1" applyFont="1" applyFill="1" applyBorder="1" applyAlignment="1" applyProtection="1">
      <alignment horizontal="center"/>
      <protection hidden="1"/>
    </xf>
    <xf numFmtId="3" fontId="36" fillId="3" borderId="10" xfId="0" applyNumberFormat="1" applyFont="1" applyFill="1" applyBorder="1" applyAlignment="1" applyProtection="1">
      <alignment horizontal="center"/>
      <protection hidden="1"/>
    </xf>
    <xf numFmtId="3" fontId="37" fillId="0" borderId="6" xfId="0" applyNumberFormat="1" applyFont="1" applyFill="1" applyBorder="1" applyAlignment="1" applyProtection="1">
      <alignment horizontal="left"/>
      <protection hidden="1"/>
    </xf>
    <xf numFmtId="0" fontId="37" fillId="0" borderId="6" xfId="0" applyFont="1" applyFill="1" applyBorder="1" applyAlignment="1" applyProtection="1">
      <alignment horizontal="right"/>
      <protection hidden="1"/>
    </xf>
    <xf numFmtId="0" fontId="32" fillId="0" borderId="6" xfId="0" applyFont="1" applyFill="1" applyBorder="1" applyAlignment="1" applyProtection="1">
      <alignment horizontal="right"/>
      <protection hidden="1"/>
    </xf>
    <xf numFmtId="0" fontId="32" fillId="0" borderId="36" xfId="0" applyFont="1" applyFill="1" applyBorder="1" applyAlignment="1" applyProtection="1">
      <alignment horizontal="right"/>
      <protection hidden="1"/>
    </xf>
    <xf numFmtId="3" fontId="32" fillId="0" borderId="37" xfId="0" applyNumberFormat="1" applyFont="1" applyBorder="1" applyAlignment="1" applyProtection="1">
      <alignment horizontal="center"/>
      <protection hidden="1"/>
    </xf>
    <xf numFmtId="3" fontId="32" fillId="3" borderId="37" xfId="0" applyNumberFormat="1" applyFont="1" applyFill="1" applyBorder="1" applyAlignment="1" applyProtection="1">
      <alignment horizontal="center"/>
      <protection hidden="1"/>
    </xf>
    <xf numFmtId="3" fontId="32" fillId="0" borderId="38" xfId="0" applyNumberFormat="1" applyFont="1" applyBorder="1" applyAlignment="1" applyProtection="1">
      <alignment horizontal="center"/>
      <protection hidden="1"/>
    </xf>
    <xf numFmtId="3" fontId="32" fillId="0" borderId="39" xfId="0" applyNumberFormat="1" applyFont="1" applyBorder="1" applyAlignment="1" applyProtection="1">
      <alignment horizontal="center"/>
      <protection hidden="1"/>
    </xf>
    <xf numFmtId="3" fontId="32" fillId="0" borderId="19" xfId="0" applyNumberFormat="1" applyFont="1" applyBorder="1" applyAlignment="1" applyProtection="1">
      <alignment horizontal="left"/>
      <protection hidden="1"/>
    </xf>
    <xf numFmtId="3" fontId="35" fillId="3" borderId="9" xfId="0" applyNumberFormat="1" applyFont="1" applyFill="1" applyBorder="1" applyAlignment="1" applyProtection="1">
      <alignment horizontal="center"/>
      <protection hidden="1"/>
    </xf>
    <xf numFmtId="172" fontId="32" fillId="0" borderId="9" xfId="0" applyNumberFormat="1" applyFont="1" applyBorder="1" applyAlignment="1" applyProtection="1">
      <alignment horizontal="center"/>
      <protection hidden="1"/>
    </xf>
    <xf numFmtId="172" fontId="32" fillId="0" borderId="33" xfId="0" applyNumberFormat="1" applyFont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left"/>
      <protection hidden="1"/>
    </xf>
    <xf numFmtId="3" fontId="35" fillId="3" borderId="5" xfId="0" applyNumberFormat="1" applyFont="1" applyFill="1" applyBorder="1" applyAlignment="1" applyProtection="1">
      <alignment horizontal="center"/>
      <protection hidden="1"/>
    </xf>
    <xf numFmtId="172" fontId="32" fillId="0" borderId="5" xfId="0" applyNumberFormat="1" applyFont="1" applyBorder="1" applyAlignment="1" applyProtection="1">
      <alignment horizontal="center"/>
      <protection hidden="1"/>
    </xf>
    <xf numFmtId="172" fontId="32" fillId="0" borderId="10" xfId="0" applyNumberFormat="1" applyFont="1" applyBorder="1" applyAlignment="1" applyProtection="1">
      <alignment horizontal="center"/>
      <protection hidden="1"/>
    </xf>
    <xf numFmtId="3" fontId="37" fillId="0" borderId="0" xfId="0" applyNumberFormat="1" applyFont="1" applyFill="1" applyBorder="1" applyAlignment="1" applyProtection="1">
      <alignment horizontal="left"/>
      <protection hidden="1"/>
    </xf>
    <xf numFmtId="167" fontId="76" fillId="0" borderId="1" xfId="0" applyNumberFormat="1" applyFont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68" fontId="10" fillId="0" borderId="1" xfId="0" applyNumberFormat="1" applyFont="1" applyBorder="1" applyAlignment="1" applyProtection="1">
      <alignment vertical="center"/>
      <protection hidden="1"/>
    </xf>
    <xf numFmtId="168" fontId="10" fillId="0" borderId="8" xfId="0" applyNumberFormat="1" applyFont="1" applyBorder="1" applyAlignment="1" applyProtection="1">
      <alignment vertical="center"/>
      <protection hidden="1"/>
    </xf>
    <xf numFmtId="168" fontId="10" fillId="0" borderId="5" xfId="0" applyNumberFormat="1" applyFont="1" applyBorder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10" fillId="0" borderId="8" xfId="0" applyFont="1" applyBorder="1" applyAlignment="1" applyProtection="1">
      <alignment vertical="center"/>
      <protection hidden="1"/>
    </xf>
    <xf numFmtId="3" fontId="50" fillId="0" borderId="1" xfId="0" applyNumberFormat="1" applyFont="1" applyFill="1" applyBorder="1" applyAlignment="1" applyProtection="1">
      <alignment vertical="center"/>
      <protection hidden="1"/>
    </xf>
    <xf numFmtId="3" fontId="53" fillId="0" borderId="1" xfId="0" applyNumberFormat="1" applyFont="1" applyFill="1" applyBorder="1" applyAlignment="1" applyProtection="1">
      <alignment vertical="center"/>
      <protection hidden="1"/>
    </xf>
    <xf numFmtId="0" fontId="48" fillId="0" borderId="1" xfId="0" applyFont="1" applyBorder="1" applyAlignment="1" applyProtection="1">
      <alignment vertical="center"/>
      <protection hidden="1"/>
    </xf>
    <xf numFmtId="0" fontId="51" fillId="0" borderId="1" xfId="0" applyFont="1" applyBorder="1" applyAlignment="1" applyProtection="1">
      <alignment vertical="center"/>
      <protection hidden="1"/>
    </xf>
    <xf numFmtId="2" fontId="18" fillId="6" borderId="1" xfId="0" applyNumberFormat="1" applyFont="1" applyFill="1" applyBorder="1" applyAlignment="1" applyProtection="1">
      <alignment vertical="center"/>
      <protection locked="0"/>
    </xf>
    <xf numFmtId="0" fontId="60" fillId="0" borderId="1" xfId="0" applyFont="1" applyFill="1" applyBorder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center"/>
    </xf>
    <xf numFmtId="3" fontId="32" fillId="0" borderId="3" xfId="0" applyNumberFormat="1" applyFont="1" applyBorder="1" applyAlignment="1" applyProtection="1">
      <alignment horizontal="center"/>
      <protection hidden="1"/>
    </xf>
    <xf numFmtId="3" fontId="32" fillId="3" borderId="2" xfId="0" applyNumberFormat="1" applyFont="1" applyFill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center"/>
      <protection hidden="1"/>
    </xf>
    <xf numFmtId="0" fontId="60" fillId="0" borderId="5" xfId="0" applyFont="1" applyFill="1" applyBorder="1" applyAlignment="1" applyProtection="1">
      <alignment horizontal="left"/>
      <protection hidden="1"/>
    </xf>
    <xf numFmtId="3" fontId="39" fillId="2" borderId="5" xfId="0" applyNumberFormat="1" applyFont="1" applyFill="1" applyBorder="1" applyAlignment="1" applyProtection="1">
      <alignment horizontal="center"/>
      <protection hidden="1"/>
    </xf>
    <xf numFmtId="3" fontId="39" fillId="2" borderId="10" xfId="0" applyNumberFormat="1" applyFont="1" applyFill="1" applyBorder="1" applyAlignment="1" applyProtection="1">
      <alignment horizontal="center"/>
      <protection hidden="1"/>
    </xf>
    <xf numFmtId="0" fontId="32" fillId="0" borderId="40" xfId="0" applyFont="1" applyFill="1" applyBorder="1" applyAlignment="1" applyProtection="1">
      <alignment horizontal="left"/>
      <protection hidden="1"/>
    </xf>
    <xf numFmtId="10" fontId="17" fillId="0" borderId="1" xfId="2" applyNumberFormat="1" applyFont="1" applyFill="1" applyBorder="1" applyAlignment="1" applyProtection="1">
      <alignment horizontal="center" vertical="center"/>
    </xf>
    <xf numFmtId="10" fontId="15" fillId="0" borderId="2" xfId="2" applyNumberFormat="1" applyFont="1" applyFill="1" applyBorder="1" applyAlignment="1" applyProtection="1">
      <alignment horizontal="center" vertical="center"/>
    </xf>
    <xf numFmtId="10" fontId="17" fillId="0" borderId="2" xfId="2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44" fillId="0" borderId="0" xfId="0" applyFont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13" xfId="0" applyFont="1" applyFill="1" applyBorder="1" applyAlignment="1" applyProtection="1">
      <alignment horizontal="center" vertical="center"/>
    </xf>
    <xf numFmtId="0" fontId="12" fillId="4" borderId="35" xfId="0" applyFont="1" applyFill="1" applyBorder="1" applyAlignment="1" applyProtection="1">
      <alignment horizontal="center" vertical="center"/>
    </xf>
    <xf numFmtId="1" fontId="4" fillId="0" borderId="0" xfId="0" applyNumberFormat="1" applyFont="1" applyAlignment="1" applyProtection="1">
      <alignment vertical="center"/>
    </xf>
    <xf numFmtId="0" fontId="15" fillId="3" borderId="3" xfId="0" applyFont="1" applyFill="1" applyBorder="1" applyAlignment="1" applyProtection="1">
      <alignment horizontal="center" vertical="center"/>
    </xf>
    <xf numFmtId="0" fontId="82" fillId="0" borderId="1" xfId="0" applyFont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3" fontId="15" fillId="2" borderId="2" xfId="0" applyNumberFormat="1" applyFont="1" applyFill="1" applyBorder="1" applyAlignment="1" applyProtection="1">
      <alignment horizontal="center" vertical="center"/>
      <protection locked="0"/>
    </xf>
    <xf numFmtId="3" fontId="15" fillId="0" borderId="1" xfId="0" applyNumberFormat="1" applyFont="1" applyFill="1" applyBorder="1" applyAlignment="1" applyProtection="1">
      <alignment horizontal="center" vertical="center"/>
    </xf>
    <xf numFmtId="3" fontId="15" fillId="0" borderId="2" xfId="0" applyNumberFormat="1" applyFont="1" applyFill="1" applyBorder="1" applyAlignment="1" applyProtection="1">
      <alignment horizontal="center" vertical="center"/>
    </xf>
    <xf numFmtId="3" fontId="15" fillId="2" borderId="15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</xf>
    <xf numFmtId="3" fontId="4" fillId="0" borderId="0" xfId="0" applyNumberFormat="1" applyFont="1" applyAlignment="1" applyProtection="1">
      <alignment vertical="center"/>
    </xf>
    <xf numFmtId="10" fontId="83" fillId="6" borderId="15" xfId="2" applyNumberFormat="1" applyFont="1" applyFill="1" applyBorder="1" applyAlignment="1" applyProtection="1">
      <alignment horizontal="center" vertical="center"/>
    </xf>
    <xf numFmtId="10" fontId="83" fillId="6" borderId="2" xfId="2" applyNumberFormat="1" applyFont="1" applyFill="1" applyBorder="1" applyAlignment="1" applyProtection="1">
      <alignment horizontal="center" vertical="center"/>
    </xf>
    <xf numFmtId="0" fontId="82" fillId="3" borderId="1" xfId="0" applyFont="1" applyFill="1" applyBorder="1" applyAlignment="1" applyProtection="1">
      <alignment horizontal="left" vertical="center"/>
    </xf>
    <xf numFmtId="4" fontId="15" fillId="2" borderId="15" xfId="0" applyNumberFormat="1" applyFont="1" applyFill="1" applyBorder="1" applyAlignment="1" applyProtection="1">
      <alignment horizontal="center" vertical="center"/>
      <protection locked="0"/>
    </xf>
    <xf numFmtId="4" fontId="15" fillId="2" borderId="2" xfId="0" applyNumberFormat="1" applyFont="1" applyFill="1" applyBorder="1" applyAlignment="1" applyProtection="1">
      <alignment horizontal="center" vertical="center"/>
      <protection locked="0"/>
    </xf>
    <xf numFmtId="10" fontId="15" fillId="2" borderId="15" xfId="2" applyNumberFormat="1" applyFont="1" applyFill="1" applyBorder="1" applyAlignment="1" applyProtection="1">
      <alignment horizontal="center" vertical="center"/>
      <protection locked="0"/>
    </xf>
    <xf numFmtId="10" fontId="15" fillId="2" borderId="2" xfId="2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</xf>
    <xf numFmtId="10" fontId="15" fillId="0" borderId="1" xfId="2" applyNumberFormat="1" applyFont="1" applyFill="1" applyBorder="1" applyAlignment="1" applyProtection="1">
      <alignment horizontal="center" vertical="center"/>
    </xf>
    <xf numFmtId="0" fontId="84" fillId="3" borderId="1" xfId="0" applyFont="1" applyFill="1" applyBorder="1" applyAlignment="1" applyProtection="1">
      <alignment horizontal="center" vertical="center"/>
    </xf>
    <xf numFmtId="0" fontId="85" fillId="0" borderId="1" xfId="0" applyFont="1" applyBorder="1" applyAlignment="1" applyProtection="1">
      <alignment horizontal="center" vertical="center"/>
    </xf>
    <xf numFmtId="3" fontId="84" fillId="0" borderId="1" xfId="0" applyNumberFormat="1" applyFont="1" applyFill="1" applyBorder="1" applyAlignment="1" applyProtection="1">
      <alignment horizontal="right" vertical="center"/>
    </xf>
    <xf numFmtId="0" fontId="77" fillId="3" borderId="21" xfId="0" applyFont="1" applyFill="1" applyBorder="1" applyAlignment="1" applyProtection="1">
      <alignment horizontal="left" vertical="center"/>
    </xf>
    <xf numFmtId="0" fontId="4" fillId="5" borderId="1" xfId="0" applyFont="1" applyFill="1" applyBorder="1" applyAlignment="1" applyProtection="1">
      <alignment horizontal="left" vertical="center"/>
    </xf>
    <xf numFmtId="0" fontId="15" fillId="5" borderId="1" xfId="0" applyFont="1" applyFill="1" applyBorder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vertical="center"/>
    </xf>
    <xf numFmtId="0" fontId="4" fillId="5" borderId="15" xfId="0" applyFont="1" applyFill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</xf>
    <xf numFmtId="0" fontId="4" fillId="5" borderId="4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  <protection hidden="1"/>
    </xf>
    <xf numFmtId="3" fontId="1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3" borderId="42" xfId="0" applyFont="1" applyFill="1" applyBorder="1" applyAlignment="1" applyProtection="1">
      <alignment horizontal="left" vertical="center"/>
    </xf>
    <xf numFmtId="0" fontId="12" fillId="0" borderId="1" xfId="0" applyFont="1" applyFill="1" applyBorder="1" applyAlignment="1" applyProtection="1">
      <alignment horizontal="center" vertical="center"/>
    </xf>
    <xf numFmtId="3" fontId="15" fillId="0" borderId="1" xfId="0" applyNumberFormat="1" applyFont="1" applyBorder="1" applyAlignment="1" applyProtection="1">
      <alignment horizontal="center" vertical="center"/>
    </xf>
    <xf numFmtId="3" fontId="15" fillId="0" borderId="2" xfId="0" applyNumberFormat="1" applyFont="1" applyBorder="1" applyAlignment="1" applyProtection="1">
      <alignment horizontal="center" vertical="center"/>
    </xf>
    <xf numFmtId="4" fontId="15" fillId="0" borderId="1" xfId="0" applyNumberFormat="1" applyFont="1" applyBorder="1" applyAlignment="1" applyProtection="1">
      <alignment horizontal="center" vertical="center"/>
    </xf>
    <xf numFmtId="4" fontId="15" fillId="0" borderId="2" xfId="0" applyNumberFormat="1" applyFont="1" applyBorder="1" applyAlignment="1" applyProtection="1">
      <alignment horizontal="center" vertical="center"/>
    </xf>
    <xf numFmtId="4" fontId="15" fillId="0" borderId="1" xfId="0" applyNumberFormat="1" applyFont="1" applyFill="1" applyBorder="1" applyAlignment="1" applyProtection="1">
      <alignment horizontal="center" vertical="center"/>
    </xf>
    <xf numFmtId="4" fontId="15" fillId="0" borderId="2" xfId="0" applyNumberFormat="1" applyFont="1" applyFill="1" applyBorder="1" applyAlignment="1" applyProtection="1">
      <alignment horizontal="center" vertical="center"/>
    </xf>
    <xf numFmtId="0" fontId="15" fillId="3" borderId="4" xfId="0" applyFont="1" applyFill="1" applyBorder="1" applyAlignment="1" applyProtection="1">
      <alignment horizontal="center" vertical="center"/>
    </xf>
    <xf numFmtId="0" fontId="7" fillId="3" borderId="43" xfId="0" applyFont="1" applyFill="1" applyBorder="1" applyAlignment="1" applyProtection="1">
      <alignment horizontal="left" vertical="center"/>
    </xf>
    <xf numFmtId="0" fontId="17" fillId="3" borderId="5" xfId="0" applyFont="1" applyFill="1" applyBorder="1" applyAlignment="1" applyProtection="1">
      <alignment horizontal="center" vertical="center"/>
    </xf>
    <xf numFmtId="0" fontId="12" fillId="3" borderId="5" xfId="0" applyFont="1" applyFill="1" applyBorder="1" applyAlignment="1" applyProtection="1">
      <alignment horizontal="center" vertical="center"/>
    </xf>
    <xf numFmtId="169" fontId="17" fillId="0" borderId="5" xfId="0" applyNumberFormat="1" applyFont="1" applyFill="1" applyBorder="1" applyAlignment="1" applyProtection="1">
      <alignment horizontal="center" vertical="center"/>
    </xf>
    <xf numFmtId="169" fontId="17" fillId="0" borderId="10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4" fontId="4" fillId="3" borderId="0" xfId="0" applyNumberFormat="1" applyFont="1" applyFill="1" applyAlignment="1" applyProtection="1">
      <alignment horizontal="center" vertical="center"/>
    </xf>
    <xf numFmtId="2" fontId="4" fillId="3" borderId="0" xfId="0" applyNumberFormat="1" applyFont="1" applyFill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center" vertical="center"/>
    </xf>
    <xf numFmtId="0" fontId="86" fillId="3" borderId="21" xfId="0" applyFont="1" applyFill="1" applyBorder="1" applyAlignment="1" applyProtection="1">
      <alignment horizontal="left" vertical="center"/>
    </xf>
    <xf numFmtId="0" fontId="86" fillId="3" borderId="21" xfId="0" applyFont="1" applyFill="1" applyBorder="1" applyAlignment="1" applyProtection="1">
      <alignment horizontal="center" vertical="center"/>
    </xf>
    <xf numFmtId="0" fontId="86" fillId="3" borderId="1" xfId="0" applyFont="1" applyFill="1" applyBorder="1" applyAlignment="1" applyProtection="1">
      <alignment horizontal="center" vertical="center"/>
    </xf>
    <xf numFmtId="0" fontId="87" fillId="0" borderId="15" xfId="0" applyFont="1" applyFill="1" applyBorder="1" applyAlignment="1" applyProtection="1">
      <alignment vertical="center"/>
    </xf>
    <xf numFmtId="0" fontId="4" fillId="0" borderId="1" xfId="0" applyFont="1" applyBorder="1" applyAlignment="1" applyProtection="1">
      <alignment horizontal="right"/>
      <protection hidden="1"/>
    </xf>
    <xf numFmtId="0" fontId="4" fillId="0" borderId="0" xfId="0" applyFont="1" applyBorder="1" applyAlignment="1" applyProtection="1">
      <alignment horizontal="right"/>
      <protection hidden="1"/>
    </xf>
    <xf numFmtId="3" fontId="4" fillId="0" borderId="1" xfId="0" applyNumberFormat="1" applyFont="1" applyFill="1" applyBorder="1" applyAlignment="1" applyProtection="1">
      <alignment vertical="center"/>
      <protection locked="0"/>
    </xf>
    <xf numFmtId="218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218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36" fillId="4" borderId="8" xfId="0" applyFont="1" applyFill="1" applyBorder="1" applyAlignment="1" applyProtection="1">
      <alignment horizontal="center"/>
      <protection hidden="1"/>
    </xf>
    <xf numFmtId="0" fontId="36" fillId="4" borderId="18" xfId="0" applyFont="1" applyFill="1" applyBorder="1" applyAlignment="1" applyProtection="1">
      <alignment horizontal="center"/>
      <protection hidden="1"/>
    </xf>
    <xf numFmtId="176" fontId="4" fillId="0" borderId="20" xfId="0" applyNumberFormat="1" applyFont="1" applyFill="1" applyBorder="1" applyAlignment="1" applyProtection="1">
      <alignment horizontal="center" vertical="center"/>
      <protection hidden="1"/>
    </xf>
    <xf numFmtId="177" fontId="32" fillId="0" borderId="8" xfId="0" applyNumberFormat="1" applyFont="1" applyBorder="1" applyAlignment="1" applyProtection="1">
      <alignment horizontal="center" vertical="center"/>
      <protection hidden="1"/>
    </xf>
    <xf numFmtId="218" fontId="11" fillId="0" borderId="33" xfId="0" applyNumberFormat="1" applyFont="1" applyFill="1" applyBorder="1" applyAlignment="1" applyProtection="1">
      <alignment horizontal="center" vertical="center"/>
    </xf>
    <xf numFmtId="188" fontId="15" fillId="7" borderId="8" xfId="0" applyNumberFormat="1" applyFont="1" applyFill="1" applyBorder="1" applyAlignment="1" applyProtection="1">
      <alignment vertical="center" wrapText="1"/>
      <protection locked="0"/>
    </xf>
    <xf numFmtId="0" fontId="4" fillId="7" borderId="1" xfId="0" applyFont="1" applyFill="1" applyBorder="1" applyAlignment="1" applyProtection="1">
      <alignment horizontal="center" vertical="center"/>
      <protection hidden="1"/>
    </xf>
    <xf numFmtId="167" fontId="76" fillId="0" borderId="2" xfId="0" applyNumberFormat="1" applyFont="1" applyBorder="1" applyAlignment="1" applyProtection="1">
      <alignment horizontal="center" vertical="center"/>
    </xf>
    <xf numFmtId="3" fontId="84" fillId="0" borderId="2" xfId="0" applyNumberFormat="1" applyFont="1" applyFill="1" applyBorder="1" applyAlignment="1" applyProtection="1">
      <alignment horizontal="center" vertical="center"/>
    </xf>
    <xf numFmtId="167" fontId="18" fillId="0" borderId="2" xfId="0" applyNumberFormat="1" applyFont="1" applyBorder="1" applyAlignment="1" applyProtection="1">
      <alignment horizontal="center" vertical="center"/>
    </xf>
    <xf numFmtId="3" fontId="4" fillId="0" borderId="2" xfId="0" applyNumberFormat="1" applyFont="1" applyBorder="1" applyAlignment="1" applyProtection="1">
      <alignment horizontal="center" vertical="center"/>
    </xf>
    <xf numFmtId="3" fontId="4" fillId="3" borderId="2" xfId="0" applyNumberFormat="1" applyFont="1" applyFill="1" applyBorder="1" applyAlignment="1" applyProtection="1">
      <alignment horizontal="center" vertical="center"/>
    </xf>
    <xf numFmtId="167" fontId="4" fillId="0" borderId="2" xfId="2" applyNumberFormat="1" applyFont="1" applyBorder="1" applyAlignment="1" applyProtection="1">
      <alignment horizontal="center" vertical="center"/>
    </xf>
    <xf numFmtId="200" fontId="21" fillId="6" borderId="1" xfId="0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4" fillId="8" borderId="1" xfId="0" applyNumberFormat="1" applyFont="1" applyFill="1" applyBorder="1" applyAlignment="1" applyProtection="1">
      <alignment horizontal="right" vertical="top" wrapText="1"/>
      <protection locked="0"/>
    </xf>
    <xf numFmtId="2" fontId="18" fillId="9" borderId="2" xfId="0" applyNumberFormat="1" applyFont="1" applyFill="1" applyBorder="1" applyAlignment="1" applyProtection="1">
      <alignment vertical="center"/>
      <protection locked="0"/>
    </xf>
    <xf numFmtId="4" fontId="4" fillId="9" borderId="2" xfId="0" applyNumberFormat="1" applyFont="1" applyFill="1" applyBorder="1" applyAlignment="1" applyProtection="1">
      <alignment vertical="center"/>
      <protection locked="0"/>
    </xf>
    <xf numFmtId="10" fontId="6" fillId="9" borderId="2" xfId="0" applyNumberFormat="1" applyFont="1" applyFill="1" applyBorder="1" applyAlignment="1" applyProtection="1">
      <alignment horizontal="center" vertical="center" wrapText="1"/>
      <protection locked="0"/>
    </xf>
    <xf numFmtId="3" fontId="6" fillId="11" borderId="1" xfId="0" applyNumberFormat="1" applyFont="1" applyFill="1" applyBorder="1" applyAlignment="1" applyProtection="1">
      <alignment horizontal="right" vertical="center"/>
      <protection locked="0"/>
    </xf>
    <xf numFmtId="3" fontId="4" fillId="11" borderId="1" xfId="0" applyNumberFormat="1" applyFont="1" applyFill="1" applyBorder="1" applyAlignment="1" applyProtection="1">
      <alignment vertical="center"/>
      <protection locked="0"/>
    </xf>
    <xf numFmtId="3" fontId="4" fillId="11" borderId="1" xfId="0" applyNumberFormat="1" applyFont="1" applyFill="1" applyBorder="1" applyAlignment="1" applyProtection="1">
      <alignment horizontal="right" vertical="center"/>
      <protection locked="0"/>
    </xf>
    <xf numFmtId="0" fontId="4" fillId="5" borderId="0" xfId="0" applyFont="1" applyFill="1" applyAlignment="1" applyProtection="1">
      <alignment vertical="center"/>
      <protection hidden="1"/>
    </xf>
    <xf numFmtId="10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11" borderId="2" xfId="0" applyNumberFormat="1" applyFont="1" applyFill="1" applyBorder="1" applyAlignment="1" applyProtection="1">
      <alignment vertical="center"/>
      <protection locked="0"/>
    </xf>
    <xf numFmtId="3" fontId="6" fillId="0" borderId="1" xfId="0" applyNumberFormat="1" applyFont="1" applyFill="1" applyBorder="1" applyAlignment="1" applyProtection="1">
      <alignment horizontal="right" vertical="center"/>
      <protection locked="0"/>
    </xf>
    <xf numFmtId="3" fontId="24" fillId="0" borderId="1" xfId="0" applyNumberFormat="1" applyFont="1" applyFill="1" applyBorder="1" applyAlignment="1" applyProtection="1">
      <alignment horizontal="right" vertical="center"/>
      <protection locked="0"/>
    </xf>
    <xf numFmtId="3" fontId="88" fillId="12" borderId="5" xfId="0" applyNumberFormat="1" applyFont="1" applyFill="1" applyBorder="1" applyAlignment="1" applyProtection="1">
      <alignment horizontal="right" vertical="center"/>
      <protection hidden="1"/>
    </xf>
    <xf numFmtId="3" fontId="90" fillId="10" borderId="2" xfId="0" applyNumberFormat="1" applyFont="1" applyFill="1" applyBorder="1" applyAlignment="1" applyProtection="1">
      <alignment horizontal="center" vertical="center" wrapText="1"/>
      <protection locked="0"/>
    </xf>
    <xf numFmtId="3" fontId="89" fillId="9" borderId="2" xfId="0" applyNumberFormat="1" applyFont="1" applyFill="1" applyBorder="1" applyAlignment="1" applyProtection="1">
      <alignment vertical="center"/>
      <protection locked="0"/>
    </xf>
    <xf numFmtId="3" fontId="18" fillId="3" borderId="1" xfId="0" applyNumberFormat="1" applyFont="1" applyFill="1" applyBorder="1" applyAlignment="1" applyProtection="1">
      <alignment vertical="center"/>
      <protection hidden="1"/>
    </xf>
    <xf numFmtId="3" fontId="18" fillId="3" borderId="2" xfId="0" applyNumberFormat="1" applyFont="1" applyFill="1" applyBorder="1" applyAlignment="1" applyProtection="1">
      <alignment vertical="center"/>
      <protection hidden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2" borderId="0" xfId="0" applyFont="1" applyFill="1" applyAlignment="1" applyProtection="1">
      <alignment horizontal="left" vertical="center"/>
      <protection hidden="1"/>
    </xf>
    <xf numFmtId="175" fontId="7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220" fontId="7" fillId="0" borderId="44" xfId="0" applyNumberFormat="1" applyFont="1" applyBorder="1" applyAlignment="1" applyProtection="1">
      <alignment horizontal="center" vertical="center"/>
      <protection hidden="1"/>
    </xf>
    <xf numFmtId="220" fontId="7" fillId="0" borderId="45" xfId="0" applyNumberFormat="1" applyFont="1" applyBorder="1" applyAlignment="1" applyProtection="1">
      <alignment horizontal="center" vertical="center"/>
      <protection hidden="1"/>
    </xf>
    <xf numFmtId="220" fontId="7" fillId="0" borderId="46" xfId="0" applyNumberFormat="1" applyFont="1" applyBorder="1" applyAlignment="1" applyProtection="1">
      <alignment horizontal="center" vertical="center"/>
      <protection hidden="1"/>
    </xf>
    <xf numFmtId="0" fontId="7" fillId="0" borderId="19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176" fontId="7" fillId="0" borderId="9" xfId="0" applyNumberFormat="1" applyFont="1" applyBorder="1" applyAlignment="1" applyProtection="1">
      <alignment horizontal="center" vertical="center"/>
      <protection hidden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" xfId="0" applyNumberFormat="1" applyFont="1" applyFill="1" applyBorder="1" applyAlignment="1" applyProtection="1">
      <alignment horizontal="center" vertical="top" wrapText="1"/>
      <protection locked="0"/>
    </xf>
    <xf numFmtId="3" fontId="7" fillId="0" borderId="5" xfId="0" applyNumberFormat="1" applyFont="1" applyBorder="1" applyAlignment="1" applyProtection="1">
      <alignment horizontal="center" vertical="top" wrapText="1"/>
    </xf>
    <xf numFmtId="3" fontId="7" fillId="0" borderId="10" xfId="0" applyNumberFormat="1" applyFont="1" applyBorder="1" applyAlignment="1" applyProtection="1">
      <alignment horizontal="center" vertical="top" wrapText="1"/>
    </xf>
    <xf numFmtId="0" fontId="7" fillId="0" borderId="0" xfId="0" applyFont="1" applyBorder="1" applyAlignment="1" applyProtection="1">
      <alignment horizontal="center" vertical="top"/>
    </xf>
    <xf numFmtId="3" fontId="4" fillId="2" borderId="15" xfId="0" applyNumberFormat="1" applyFont="1" applyFill="1" applyBorder="1" applyAlignment="1" applyProtection="1">
      <alignment horizontal="right" vertical="top" wrapText="1"/>
      <protection locked="0"/>
    </xf>
    <xf numFmtId="3" fontId="4" fillId="2" borderId="6" xfId="0" applyNumberFormat="1" applyFont="1" applyFill="1" applyBorder="1" applyAlignment="1" applyProtection="1">
      <alignment horizontal="right" vertical="top" wrapText="1"/>
      <protection locked="0"/>
    </xf>
    <xf numFmtId="3" fontId="4" fillId="2" borderId="28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2" xfId="0" applyNumberFormat="1" applyFont="1" applyBorder="1" applyAlignment="1" applyProtection="1">
      <alignment horizontal="right" vertical="top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center" vertical="top" wrapText="1"/>
    </xf>
    <xf numFmtId="3" fontId="4" fillId="0" borderId="2" xfId="0" applyNumberFormat="1" applyFont="1" applyBorder="1" applyAlignment="1" applyProtection="1">
      <alignment horizontal="right" vertical="center" wrapText="1"/>
    </xf>
    <xf numFmtId="3" fontId="4" fillId="2" borderId="15" xfId="0" applyNumberFormat="1" applyFont="1" applyFill="1" applyBorder="1" applyAlignment="1" applyProtection="1">
      <alignment horizontal="center" vertical="top" wrapText="1"/>
      <protection locked="0"/>
    </xf>
    <xf numFmtId="3" fontId="4" fillId="2" borderId="31" xfId="0" applyNumberFormat="1" applyFont="1" applyFill="1" applyBorder="1" applyAlignment="1" applyProtection="1">
      <alignment horizontal="center" vertical="top" wrapText="1"/>
      <protection locked="0"/>
    </xf>
    <xf numFmtId="3" fontId="4" fillId="2" borderId="6" xfId="0" applyNumberFormat="1" applyFont="1" applyFill="1" applyBorder="1" applyAlignment="1" applyProtection="1">
      <alignment horizontal="center" vertical="top" wrapText="1"/>
      <protection locked="0"/>
    </xf>
    <xf numFmtId="3" fontId="4" fillId="5" borderId="15" xfId="0" applyNumberFormat="1" applyFont="1" applyFill="1" applyBorder="1" applyAlignment="1" applyProtection="1">
      <alignment horizontal="center" vertical="top" wrapText="1"/>
      <protection locked="0"/>
    </xf>
    <xf numFmtId="3" fontId="4" fillId="5" borderId="31" xfId="0" applyNumberFormat="1" applyFont="1" applyFill="1" applyBorder="1" applyAlignment="1" applyProtection="1">
      <alignment horizontal="center" vertical="top" wrapText="1"/>
      <protection locked="0"/>
    </xf>
    <xf numFmtId="3" fontId="4" fillId="5" borderId="6" xfId="0" applyNumberFormat="1" applyFont="1" applyFill="1" applyBorder="1" applyAlignment="1" applyProtection="1">
      <alignment horizontal="center" vertical="top" wrapText="1"/>
      <protection locked="0"/>
    </xf>
    <xf numFmtId="183" fontId="4" fillId="0" borderId="0" xfId="0" applyNumberFormat="1" applyFont="1" applyBorder="1" applyAlignment="1" applyProtection="1">
      <alignment horizontal="center" vertical="top"/>
    </xf>
    <xf numFmtId="0" fontId="4" fillId="0" borderId="1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92" fontId="4" fillId="0" borderId="9" xfId="0" applyNumberFormat="1" applyFont="1" applyFill="1" applyBorder="1" applyAlignment="1" applyProtection="1">
      <alignment horizontal="center" vertical="center" wrapText="1"/>
    </xf>
    <xf numFmtId="211" fontId="4" fillId="0" borderId="9" xfId="0" applyNumberFormat="1" applyFont="1" applyFill="1" applyBorder="1" applyAlignment="1" applyProtection="1">
      <alignment horizontal="center" vertical="center" wrapText="1"/>
    </xf>
    <xf numFmtId="211" fontId="4" fillId="0" borderId="33" xfId="0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 applyProtection="1">
      <alignment horizontal="center" vertical="justify"/>
    </xf>
    <xf numFmtId="164" fontId="12" fillId="0" borderId="2" xfId="0" applyNumberFormat="1" applyFont="1" applyFill="1" applyBorder="1" applyAlignment="1" applyProtection="1">
      <alignment horizontal="center" vertical="justify"/>
    </xf>
    <xf numFmtId="178" fontId="4" fillId="0" borderId="9" xfId="0" applyNumberFormat="1" applyFont="1" applyFill="1" applyBorder="1" applyAlignment="1" applyProtection="1">
      <alignment horizontal="center" vertical="center" wrapText="1"/>
    </xf>
    <xf numFmtId="179" fontId="4" fillId="0" borderId="9" xfId="0" applyNumberFormat="1" applyFont="1" applyFill="1" applyBorder="1" applyAlignment="1" applyProtection="1">
      <alignment horizontal="center" vertical="center" wrapText="1"/>
    </xf>
    <xf numFmtId="179" fontId="4" fillId="0" borderId="33" xfId="0" applyNumberFormat="1" applyFont="1" applyFill="1" applyBorder="1" applyAlignment="1" applyProtection="1">
      <alignment horizontal="center" vertical="center" wrapText="1"/>
    </xf>
    <xf numFmtId="185" fontId="11" fillId="0" borderId="0" xfId="0" applyNumberFormat="1" applyFont="1" applyBorder="1" applyAlignment="1" applyProtection="1">
      <alignment horizontal="center" vertical="center"/>
    </xf>
    <xf numFmtId="0" fontId="4" fillId="5" borderId="0" xfId="0" applyFont="1" applyFill="1" applyAlignment="1" applyProtection="1">
      <alignment horizontal="left"/>
    </xf>
    <xf numFmtId="3" fontId="4" fillId="3" borderId="47" xfId="0" applyNumberFormat="1" applyFont="1" applyFill="1" applyBorder="1" applyAlignment="1" applyProtection="1">
      <alignment horizontal="center" vertical="center" textRotation="90"/>
    </xf>
    <xf numFmtId="0" fontId="4" fillId="0" borderId="48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textRotation="90"/>
    </xf>
    <xf numFmtId="0" fontId="4" fillId="0" borderId="4" xfId="0" applyFont="1" applyBorder="1" applyAlignment="1" applyProtection="1">
      <alignment horizontal="center" vertical="center" textRotation="90"/>
    </xf>
    <xf numFmtId="180" fontId="4" fillId="0" borderId="0" xfId="0" applyNumberFormat="1" applyFont="1" applyBorder="1" applyAlignment="1" applyProtection="1">
      <alignment horizontal="center" vertical="top"/>
    </xf>
    <xf numFmtId="176" fontId="4" fillId="0" borderId="9" xfId="0" applyNumberFormat="1" applyFont="1" applyBorder="1" applyAlignment="1" applyProtection="1">
      <alignment horizontal="center" vertical="center" wrapText="1"/>
    </xf>
    <xf numFmtId="212" fontId="4" fillId="0" borderId="9" xfId="0" applyNumberFormat="1" applyFont="1" applyBorder="1" applyAlignment="1" applyProtection="1">
      <alignment horizontal="center" vertical="center" wrapText="1"/>
    </xf>
    <xf numFmtId="212" fontId="4" fillId="0" borderId="33" xfId="0" applyNumberFormat="1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213" fontId="27" fillId="0" borderId="0" xfId="0" applyNumberFormat="1" applyFont="1" applyBorder="1" applyAlignment="1" applyProtection="1">
      <alignment horizontal="left" vertical="center" wrapText="1"/>
      <protection hidden="1"/>
    </xf>
    <xf numFmtId="0" fontId="4" fillId="0" borderId="15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 wrapText="1"/>
      <protection hidden="1"/>
    </xf>
    <xf numFmtId="0" fontId="4" fillId="0" borderId="6" xfId="0" applyFont="1" applyBorder="1" applyAlignment="1" applyProtection="1">
      <alignment horizontal="left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 applyProtection="1">
      <alignment horizontal="center" vertical="center" wrapText="1"/>
      <protection hidden="1"/>
    </xf>
    <xf numFmtId="0" fontId="7" fillId="0" borderId="43" xfId="0" applyFont="1" applyBorder="1" applyAlignment="1" applyProtection="1">
      <alignment horizontal="left"/>
      <protection hidden="1"/>
    </xf>
    <xf numFmtId="0" fontId="7" fillId="0" borderId="49" xfId="0" applyFont="1" applyBorder="1" applyAlignment="1" applyProtection="1">
      <alignment horizontal="left"/>
      <protection hidden="1"/>
    </xf>
    <xf numFmtId="0" fontId="7" fillId="0" borderId="40" xfId="0" applyFont="1" applyBorder="1" applyAlignment="1" applyProtection="1">
      <alignment horizontal="left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81" fontId="4" fillId="0" borderId="20" xfId="0" applyNumberFormat="1" applyFont="1" applyBorder="1" applyAlignment="1" applyProtection="1">
      <alignment horizontal="center" vertical="center" wrapText="1"/>
      <protection hidden="1"/>
    </xf>
    <xf numFmtId="181" fontId="4" fillId="0" borderId="8" xfId="0" applyNumberFormat="1" applyFont="1" applyBorder="1" applyAlignment="1" applyProtection="1">
      <alignment horizontal="center" vertical="center" wrapText="1"/>
      <protection hidden="1"/>
    </xf>
    <xf numFmtId="175" fontId="8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10" fillId="0" borderId="44" xfId="0" applyFont="1" applyBorder="1" applyAlignment="1" applyProtection="1">
      <alignment horizontal="center" vertical="center" wrapText="1"/>
      <protection hidden="1"/>
    </xf>
    <xf numFmtId="0" fontId="10" fillId="0" borderId="45" xfId="0" applyFont="1" applyBorder="1" applyAlignment="1" applyProtection="1">
      <alignment horizontal="center" vertical="center" wrapText="1"/>
      <protection hidden="1"/>
    </xf>
    <xf numFmtId="0" fontId="10" fillId="0" borderId="50" xfId="0" applyFont="1" applyBorder="1" applyAlignment="1" applyProtection="1">
      <alignment horizontal="center" vertical="center" wrapText="1"/>
      <protection hidden="1"/>
    </xf>
    <xf numFmtId="0" fontId="12" fillId="4" borderId="15" xfId="0" applyFont="1" applyFill="1" applyBorder="1" applyAlignment="1" applyProtection="1">
      <alignment horizontal="center" vertical="center" wrapText="1"/>
      <protection hidden="1"/>
    </xf>
    <xf numFmtId="0" fontId="12" fillId="4" borderId="31" xfId="0" applyFont="1" applyFill="1" applyBorder="1" applyAlignment="1" applyProtection="1">
      <alignment horizontal="center" vertical="center" wrapText="1"/>
      <protection hidden="1"/>
    </xf>
    <xf numFmtId="0" fontId="12" fillId="4" borderId="6" xfId="0" applyFont="1" applyFill="1" applyBorder="1" applyAlignment="1" applyProtection="1">
      <alignment horizontal="center" vertical="center" wrapText="1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216" fontId="40" fillId="6" borderId="20" xfId="0" applyNumberFormat="1" applyFont="1" applyFill="1" applyBorder="1" applyAlignment="1" applyProtection="1">
      <alignment horizontal="center" vertical="center"/>
      <protection locked="0"/>
    </xf>
    <xf numFmtId="216" fontId="40" fillId="6" borderId="8" xfId="0" applyNumberFormat="1" applyFont="1" applyFill="1" applyBorder="1" applyAlignment="1" applyProtection="1">
      <alignment horizontal="center" vertical="center"/>
      <protection locked="0"/>
    </xf>
    <xf numFmtId="217" fontId="40" fillId="0" borderId="20" xfId="0" applyNumberFormat="1" applyFont="1" applyFill="1" applyBorder="1" applyAlignment="1" applyProtection="1">
      <alignment horizontal="center" vertical="center"/>
      <protection hidden="1"/>
    </xf>
    <xf numFmtId="217" fontId="40" fillId="0" borderId="8" xfId="0" applyNumberFormat="1" applyFont="1" applyFill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11" fillId="0" borderId="23" xfId="0" applyFont="1" applyBorder="1" applyAlignment="1" applyProtection="1">
      <alignment horizontal="center" vertical="center"/>
      <protection hidden="1"/>
    </xf>
    <xf numFmtId="0" fontId="11" fillId="0" borderId="21" xfId="0" applyFont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175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32" fillId="0" borderId="9" xfId="0" applyFont="1" applyBorder="1" applyAlignment="1" applyProtection="1">
      <alignment horizontal="center" vertical="center"/>
      <protection hidden="1"/>
    </xf>
    <xf numFmtId="0" fontId="32" fillId="0" borderId="1" xfId="0" applyFont="1" applyBorder="1" applyAlignment="1" applyProtection="1">
      <alignment horizontal="center" vertical="center"/>
      <protection hidden="1"/>
    </xf>
    <xf numFmtId="0" fontId="32" fillId="0" borderId="54" xfId="0" applyFont="1" applyBorder="1" applyAlignment="1" applyProtection="1">
      <alignment horizontal="center" vertical="justify"/>
      <protection hidden="1"/>
    </xf>
    <xf numFmtId="0" fontId="32" fillId="0" borderId="37" xfId="0" applyFont="1" applyBorder="1" applyAlignment="1" applyProtection="1">
      <alignment horizontal="center" vertical="justify"/>
      <protection hidden="1"/>
    </xf>
    <xf numFmtId="0" fontId="32" fillId="0" borderId="50" xfId="0" applyFont="1" applyBorder="1" applyAlignment="1" applyProtection="1">
      <alignment horizontal="center" vertical="center"/>
      <protection hidden="1"/>
    </xf>
    <xf numFmtId="0" fontId="32" fillId="0" borderId="6" xfId="0" applyFont="1" applyBorder="1" applyAlignment="1" applyProtection="1">
      <alignment horizontal="center" vertical="center"/>
      <protection hidden="1"/>
    </xf>
    <xf numFmtId="175" fontId="31" fillId="0" borderId="0" xfId="0" applyNumberFormat="1" applyFont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32" fillId="0" borderId="53" xfId="0" applyFont="1" applyBorder="1" applyAlignment="1" applyProtection="1">
      <alignment horizontal="center" vertical="justify"/>
      <protection hidden="1"/>
    </xf>
    <xf numFmtId="0" fontId="32" fillId="0" borderId="25" xfId="0" applyFont="1" applyBorder="1" applyAlignment="1" applyProtection="1">
      <alignment horizontal="center" vertical="justify"/>
      <protection hidden="1"/>
    </xf>
    <xf numFmtId="0" fontId="32" fillId="0" borderId="19" xfId="0" applyFont="1" applyBorder="1" applyAlignment="1" applyProtection="1">
      <alignment horizontal="center" vertical="center"/>
      <protection hidden="1"/>
    </xf>
    <xf numFmtId="0" fontId="32" fillId="0" borderId="3" xfId="0" applyFont="1" applyBorder="1" applyAlignment="1" applyProtection="1">
      <alignment horizontal="center" vertical="center"/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32" fillId="0" borderId="27" xfId="0" applyFont="1" applyBorder="1" applyAlignment="1" applyProtection="1">
      <alignment horizontal="center" vertical="center"/>
      <protection hidden="1"/>
    </xf>
    <xf numFmtId="0" fontId="32" fillId="0" borderId="17" xfId="0" applyFont="1" applyBorder="1" applyAlignment="1" applyProtection="1">
      <alignment horizontal="center" vertical="center"/>
      <protection hidden="1"/>
    </xf>
    <xf numFmtId="0" fontId="32" fillId="0" borderId="51" xfId="0" applyFont="1" applyBorder="1" applyAlignment="1" applyProtection="1">
      <alignment horizontal="center" vertical="justify"/>
      <protection hidden="1"/>
    </xf>
    <xf numFmtId="0" fontId="32" fillId="0" borderId="52" xfId="0" applyFont="1" applyBorder="1" applyAlignment="1" applyProtection="1">
      <alignment horizontal="center" vertical="justify"/>
      <protection hidden="1"/>
    </xf>
    <xf numFmtId="0" fontId="32" fillId="0" borderId="23" xfId="0" applyFont="1" applyBorder="1" applyAlignment="1" applyProtection="1">
      <alignment horizontal="center" vertical="center"/>
      <protection hidden="1"/>
    </xf>
    <xf numFmtId="0" fontId="32" fillId="0" borderId="21" xfId="0" applyFont="1" applyBorder="1" applyAlignment="1" applyProtection="1">
      <alignment horizontal="center" vertical="center"/>
      <protection hidden="1"/>
    </xf>
    <xf numFmtId="3" fontId="36" fillId="3" borderId="53" xfId="0" applyNumberFormat="1" applyFont="1" applyFill="1" applyBorder="1" applyAlignment="1" applyProtection="1">
      <alignment horizontal="center" vertical="center" textRotation="75"/>
      <protection hidden="1"/>
    </xf>
    <xf numFmtId="3" fontId="36" fillId="3" borderId="34" xfId="0" applyNumberFormat="1" applyFont="1" applyFill="1" applyBorder="1" applyAlignment="1" applyProtection="1">
      <alignment horizontal="center" vertical="center" textRotation="75"/>
      <protection hidden="1"/>
    </xf>
    <xf numFmtId="175" fontId="8" fillId="0" borderId="0" xfId="0" applyNumberFormat="1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center"/>
    </xf>
    <xf numFmtId="0" fontId="15" fillId="0" borderId="27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0" fontId="7" fillId="0" borderId="1" xfId="0" applyNumberFormat="1" applyFont="1" applyBorder="1" applyAlignment="1" applyProtection="1">
      <alignment horizontal="center" vertical="center"/>
      <protection hidden="1"/>
    </xf>
    <xf numFmtId="208" fontId="7" fillId="0" borderId="15" xfId="0" applyNumberFormat="1" applyFont="1" applyBorder="1" applyAlignment="1" applyProtection="1">
      <alignment horizontal="center" vertical="center"/>
      <protection hidden="1"/>
    </xf>
    <xf numFmtId="208" fontId="7" fillId="0" borderId="31" xfId="0" applyNumberFormat="1" applyFont="1" applyBorder="1" applyAlignment="1" applyProtection="1">
      <alignment horizontal="center" vertical="center"/>
      <protection hidden="1"/>
    </xf>
    <xf numFmtId="208" fontId="7" fillId="0" borderId="6" xfId="0" applyNumberFormat="1" applyFont="1" applyBorder="1" applyAlignment="1" applyProtection="1">
      <alignment horizontal="center" vertical="center"/>
      <protection hidden="1"/>
    </xf>
    <xf numFmtId="209" fontId="7" fillId="0" borderId="15" xfId="0" applyNumberFormat="1" applyFont="1" applyBorder="1" applyAlignment="1" applyProtection="1">
      <alignment horizontal="center" vertical="center"/>
      <protection hidden="1"/>
    </xf>
    <xf numFmtId="209" fontId="7" fillId="0" borderId="31" xfId="0" applyNumberFormat="1" applyFont="1" applyBorder="1" applyAlignment="1" applyProtection="1">
      <alignment horizontal="center" vertical="center"/>
      <protection hidden="1"/>
    </xf>
    <xf numFmtId="209" fontId="7" fillId="0" borderId="6" xfId="0" applyNumberFormat="1" applyFont="1" applyBorder="1" applyAlignment="1" applyProtection="1">
      <alignment horizontal="center" vertical="center"/>
      <protection hidden="1"/>
    </xf>
    <xf numFmtId="166" fontId="4" fillId="5" borderId="13" xfId="0" applyNumberFormat="1" applyFont="1" applyFill="1" applyBorder="1" applyAlignment="1" applyProtection="1">
      <alignment horizontal="center" vertical="center"/>
      <protection hidden="1"/>
    </xf>
    <xf numFmtId="166" fontId="4" fillId="5" borderId="14" xfId="0" applyNumberFormat="1" applyFont="1" applyFill="1" applyBorder="1" applyAlignment="1" applyProtection="1">
      <alignment horizontal="center" vertical="center"/>
      <protection hidden="1"/>
    </xf>
    <xf numFmtId="166" fontId="4" fillId="5" borderId="8" xfId="0" applyNumberFormat="1" applyFont="1" applyFill="1" applyBorder="1" applyAlignment="1" applyProtection="1">
      <alignment horizontal="center" vertical="center"/>
      <protection hidden="1"/>
    </xf>
    <xf numFmtId="4" fontId="4" fillId="5" borderId="13" xfId="0" applyNumberFormat="1" applyFont="1" applyFill="1" applyBorder="1" applyAlignment="1" applyProtection="1">
      <alignment horizontal="center" vertical="center"/>
      <protection locked="0"/>
    </xf>
    <xf numFmtId="4" fontId="4" fillId="5" borderId="14" xfId="0" applyNumberFormat="1" applyFont="1" applyFill="1" applyBorder="1" applyAlignment="1" applyProtection="1">
      <alignment horizontal="center" vertical="center"/>
      <protection locked="0"/>
    </xf>
    <xf numFmtId="4" fontId="4" fillId="5" borderId="8" xfId="0" applyNumberFormat="1" applyFont="1" applyFill="1" applyBorder="1" applyAlignment="1" applyProtection="1">
      <alignment horizontal="center" vertical="center"/>
      <protection locked="0"/>
    </xf>
    <xf numFmtId="207" fontId="7" fillId="0" borderId="1" xfId="0" applyNumberFormat="1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210" fontId="7" fillId="0" borderId="1" xfId="0" applyNumberFormat="1" applyFont="1" applyBorder="1" applyAlignment="1" applyProtection="1">
      <alignment horizontal="center"/>
      <protection hidden="1"/>
    </xf>
    <xf numFmtId="0" fontId="7" fillId="0" borderId="1" xfId="0" applyNumberFormat="1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top"/>
      <protection hidden="1"/>
    </xf>
    <xf numFmtId="202" fontId="7" fillId="0" borderId="1" xfId="0" applyNumberFormat="1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66" fillId="0" borderId="1" xfId="0" applyFont="1" applyBorder="1" applyAlignment="1" applyProtection="1">
      <alignment vertical="top"/>
      <protection hidden="1"/>
    </xf>
    <xf numFmtId="0" fontId="72" fillId="0" borderId="1" xfId="0" applyFont="1" applyBorder="1" applyAlignment="1" applyProtection="1">
      <alignment horizontal="left" vertical="top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3" xfId="0" applyFont="1" applyBorder="1" applyAlignment="1" applyProtection="1">
      <alignment vertical="top" wrapText="1"/>
      <protection hidden="1"/>
    </xf>
    <xf numFmtId="0" fontId="4" fillId="0" borderId="14" xfId="0" applyFont="1" applyBorder="1" applyAlignment="1" applyProtection="1">
      <alignment vertical="top" wrapText="1"/>
      <protection hidden="1"/>
    </xf>
    <xf numFmtId="0" fontId="4" fillId="0" borderId="8" xfId="0" applyFont="1" applyBorder="1" applyAlignment="1" applyProtection="1">
      <alignment vertical="top" wrapText="1"/>
      <protection hidden="1"/>
    </xf>
    <xf numFmtId="0" fontId="4" fillId="0" borderId="13" xfId="0" applyFont="1" applyBorder="1" applyAlignment="1" applyProtection="1">
      <alignment horizontal="left" vertical="top"/>
      <protection hidden="1"/>
    </xf>
    <xf numFmtId="0" fontId="4" fillId="0" borderId="8" xfId="0" applyFont="1" applyBorder="1" applyAlignment="1" applyProtection="1">
      <alignment horizontal="left" vertical="top"/>
      <protection hidden="1"/>
    </xf>
    <xf numFmtId="219" fontId="7" fillId="0" borderId="41" xfId="0" applyNumberFormat="1" applyFont="1" applyBorder="1" applyAlignment="1" applyProtection="1">
      <alignment horizontal="center" vertical="center"/>
      <protection hidden="1"/>
    </xf>
    <xf numFmtId="219" fontId="7" fillId="0" borderId="36" xfId="0" applyNumberFormat="1" applyFont="1" applyBorder="1" applyAlignment="1" applyProtection="1">
      <alignment horizontal="center" vertical="center"/>
      <protection hidden="1"/>
    </xf>
    <xf numFmtId="219" fontId="7" fillId="0" borderId="21" xfId="0" applyNumberFormat="1" applyFont="1" applyBorder="1" applyAlignment="1" applyProtection="1">
      <alignment horizontal="center" vertical="center"/>
      <protection hidden="1"/>
    </xf>
    <xf numFmtId="219" fontId="7" fillId="0" borderId="22" xfId="0" applyNumberFormat="1" applyFont="1" applyBorder="1" applyAlignment="1" applyProtection="1">
      <alignment horizontal="center" vertical="center"/>
      <protection hidden="1"/>
    </xf>
    <xf numFmtId="215" fontId="7" fillId="0" borderId="1" xfId="0" applyNumberFormat="1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3" fillId="0" borderId="13" xfId="0" applyFont="1" applyBorder="1" applyAlignment="1" applyProtection="1">
      <alignment vertical="top" wrapText="1"/>
      <protection hidden="1"/>
    </xf>
    <xf numFmtId="0" fontId="63" fillId="0" borderId="14" xfId="0" applyFont="1" applyBorder="1" applyAlignment="1" applyProtection="1">
      <alignment vertical="top" wrapText="1"/>
      <protection hidden="1"/>
    </xf>
    <xf numFmtId="0" fontId="63" fillId="0" borderId="8" xfId="0" applyFont="1" applyBorder="1" applyAlignment="1" applyProtection="1">
      <alignment vertical="top" wrapText="1"/>
      <protection hidden="1"/>
    </xf>
  </cellXfs>
  <cellStyles count="3">
    <cellStyle name="Standard_A" xfId="1"/>
    <cellStyle name="Нормален" xfId="0" builtinId="0"/>
    <cellStyle name="Процент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AppData\Local\Microsoft\Windows\Temporary%20Internet%20Files\Content.IE5\91UQO759\&#1062;&#1077;&#1085;&#1080;%2001.04.15%20-30.06.1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\P-2012\N_tables-add-DVG&amp;GT-20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15"/>
      <sheetName val="2014"/>
      <sheetName val="Sheet1"/>
      <sheetName val="Sheet2"/>
    </sheetNames>
    <sheetDataSet>
      <sheetData sheetId="0">
        <row r="2">
          <cell r="AH2">
            <v>440.68</v>
          </cell>
        </row>
        <row r="29">
          <cell r="AN29">
            <v>8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НАЧАЛО"/>
      <sheetName val="Разходи-Произв."/>
      <sheetName val="Разходи-Пренос"/>
      <sheetName val="РБА"/>
      <sheetName val="НВ"/>
      <sheetName val="ТИП-ПРОИЗ"/>
      <sheetName val="ТИП-ПРЕНОС"/>
      <sheetName val="Коефициенти"/>
      <sheetName val="Спецификация"/>
      <sheetName val="ДВГ"/>
      <sheetName val="ГТ(КУ)"/>
      <sheetName val="ВК"/>
      <sheetName val="ППК"/>
    </sheetNames>
    <sheetDataSet>
      <sheetData sheetId="0" refreshError="1"/>
      <sheetData sheetId="1" refreshError="1">
        <row r="79">
          <cell r="A79" t="str">
            <v>Гл. счетоводител:</v>
          </cell>
          <cell r="E79" t="str">
            <v>Изп. директор: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I24"/>
  <sheetViews>
    <sheetView topLeftCell="A19" workbookViewId="0">
      <selection activeCell="C23" sqref="C23:I23"/>
    </sheetView>
  </sheetViews>
  <sheetFormatPr defaultRowHeight="12.75"/>
  <cols>
    <col min="1" max="1" width="9.140625" style="15"/>
    <col min="2" max="2" width="9.140625" style="48"/>
    <col min="3" max="16384" width="9.140625" style="15"/>
  </cols>
  <sheetData>
    <row r="3" spans="2:9">
      <c r="B3" s="704" t="s">
        <v>359</v>
      </c>
      <c r="C3" s="704"/>
      <c r="D3" s="704"/>
      <c r="E3" s="704"/>
      <c r="F3" s="704"/>
      <c r="G3" s="704"/>
      <c r="H3" s="704"/>
    </row>
    <row r="4" spans="2:9">
      <c r="B4" s="704" t="s">
        <v>360</v>
      </c>
      <c r="C4" s="704"/>
      <c r="D4" s="704"/>
      <c r="E4" s="704"/>
      <c r="F4" s="704"/>
      <c r="G4" s="704"/>
      <c r="H4" s="704"/>
    </row>
    <row r="7" spans="2:9">
      <c r="B7" s="47">
        <v>1</v>
      </c>
      <c r="C7" s="15" t="s">
        <v>361</v>
      </c>
    </row>
    <row r="8" spans="2:9">
      <c r="B8" s="48">
        <v>2</v>
      </c>
      <c r="C8" s="15" t="s">
        <v>362</v>
      </c>
    </row>
    <row r="9" spans="2:9" ht="27.75" customHeight="1">
      <c r="B9" s="60">
        <v>3</v>
      </c>
      <c r="C9" s="703" t="s">
        <v>363</v>
      </c>
      <c r="D9" s="703"/>
      <c r="E9" s="703"/>
      <c r="F9" s="703"/>
      <c r="G9" s="703"/>
      <c r="H9" s="703"/>
      <c r="I9" s="703"/>
    </row>
    <row r="10" spans="2:9" ht="39" customHeight="1">
      <c r="B10" s="60">
        <v>4</v>
      </c>
      <c r="C10" s="703" t="s">
        <v>364</v>
      </c>
      <c r="D10" s="703"/>
      <c r="E10" s="703"/>
      <c r="F10" s="703"/>
      <c r="G10" s="703"/>
      <c r="H10" s="703"/>
      <c r="I10" s="703"/>
    </row>
    <row r="11" spans="2:9" ht="28.5" customHeight="1">
      <c r="B11" s="60">
        <v>5</v>
      </c>
      <c r="C11" s="703" t="s">
        <v>365</v>
      </c>
      <c r="D11" s="703"/>
      <c r="E11" s="703"/>
      <c r="F11" s="703"/>
      <c r="G11" s="703"/>
      <c r="H11" s="703"/>
      <c r="I11" s="703"/>
    </row>
    <row r="12" spans="2:9" ht="30" customHeight="1">
      <c r="B12" s="60">
        <v>6</v>
      </c>
      <c r="C12" s="703" t="s">
        <v>366</v>
      </c>
      <c r="D12" s="703"/>
      <c r="E12" s="703"/>
      <c r="F12" s="703"/>
      <c r="G12" s="703"/>
      <c r="H12" s="703"/>
      <c r="I12" s="703"/>
    </row>
    <row r="13" spans="2:9" ht="27" customHeight="1">
      <c r="B13" s="60">
        <v>7</v>
      </c>
      <c r="C13" s="703" t="s">
        <v>367</v>
      </c>
      <c r="D13" s="703"/>
      <c r="E13" s="703"/>
      <c r="F13" s="703"/>
      <c r="G13" s="703"/>
      <c r="H13" s="703"/>
      <c r="I13" s="703"/>
    </row>
    <row r="14" spans="2:9" ht="40.5" customHeight="1">
      <c r="B14" s="60">
        <v>8</v>
      </c>
      <c r="C14" s="703" t="s">
        <v>368</v>
      </c>
      <c r="D14" s="703"/>
      <c r="E14" s="703"/>
      <c r="F14" s="703"/>
      <c r="G14" s="703"/>
      <c r="H14" s="703"/>
      <c r="I14" s="703"/>
    </row>
    <row r="15" spans="2:9" ht="27" customHeight="1">
      <c r="B15" s="60">
        <v>9</v>
      </c>
      <c r="C15" s="703" t="s">
        <v>369</v>
      </c>
      <c r="D15" s="703"/>
      <c r="E15" s="703"/>
      <c r="F15" s="703"/>
      <c r="G15" s="703"/>
      <c r="H15" s="703"/>
      <c r="I15" s="703"/>
    </row>
    <row r="16" spans="2:9">
      <c r="B16" s="60">
        <v>10</v>
      </c>
      <c r="C16" s="703" t="s">
        <v>370</v>
      </c>
      <c r="D16" s="703"/>
      <c r="E16" s="703"/>
      <c r="F16" s="703"/>
      <c r="G16" s="703"/>
      <c r="H16" s="703"/>
      <c r="I16" s="703"/>
    </row>
    <row r="17" spans="2:9" ht="39" customHeight="1">
      <c r="B17" s="60">
        <v>11</v>
      </c>
      <c r="C17" s="703" t="s">
        <v>371</v>
      </c>
      <c r="D17" s="703"/>
      <c r="E17" s="703"/>
      <c r="F17" s="703"/>
      <c r="G17" s="703"/>
      <c r="H17" s="703"/>
      <c r="I17" s="703"/>
    </row>
    <row r="18" spans="2:9" ht="43.5" customHeight="1">
      <c r="B18" s="60">
        <v>12</v>
      </c>
      <c r="C18" s="703" t="s">
        <v>372</v>
      </c>
      <c r="D18" s="703"/>
      <c r="E18" s="703"/>
      <c r="F18" s="703"/>
      <c r="G18" s="703"/>
      <c r="H18" s="703"/>
      <c r="I18" s="703"/>
    </row>
    <row r="19" spans="2:9">
      <c r="B19" s="60">
        <v>13</v>
      </c>
      <c r="C19" s="703" t="s">
        <v>373</v>
      </c>
      <c r="D19" s="703"/>
      <c r="E19" s="703"/>
      <c r="F19" s="703"/>
      <c r="G19" s="703"/>
      <c r="H19" s="703"/>
      <c r="I19" s="703"/>
    </row>
    <row r="20" spans="2:9" ht="28.5" customHeight="1">
      <c r="B20" s="60">
        <v>14</v>
      </c>
      <c r="C20" s="703" t="s">
        <v>374</v>
      </c>
      <c r="D20" s="703"/>
      <c r="E20" s="703"/>
      <c r="F20" s="703"/>
      <c r="G20" s="703"/>
      <c r="H20" s="703"/>
      <c r="I20" s="703"/>
    </row>
    <row r="21" spans="2:9">
      <c r="B21" s="60">
        <v>15</v>
      </c>
      <c r="C21" s="703" t="s">
        <v>375</v>
      </c>
      <c r="D21" s="703"/>
      <c r="E21" s="703"/>
      <c r="F21" s="703"/>
      <c r="G21" s="703"/>
      <c r="H21" s="703"/>
      <c r="I21" s="703"/>
    </row>
    <row r="22" spans="2:9">
      <c r="B22" s="60">
        <v>16</v>
      </c>
      <c r="C22" s="703" t="s">
        <v>376</v>
      </c>
      <c r="D22" s="703"/>
      <c r="E22" s="703"/>
      <c r="F22" s="703"/>
      <c r="G22" s="703"/>
      <c r="H22" s="703"/>
      <c r="I22" s="703"/>
    </row>
    <row r="23" spans="2:9">
      <c r="B23" s="60">
        <v>17</v>
      </c>
      <c r="C23" s="703" t="s">
        <v>377</v>
      </c>
      <c r="D23" s="703"/>
      <c r="E23" s="703"/>
      <c r="F23" s="703"/>
      <c r="G23" s="703"/>
      <c r="H23" s="703"/>
      <c r="I23" s="703"/>
    </row>
    <row r="24" spans="2:9" ht="27.75" customHeight="1">
      <c r="B24" s="60">
        <v>18</v>
      </c>
      <c r="C24" s="703" t="s">
        <v>542</v>
      </c>
      <c r="D24" s="703"/>
      <c r="E24" s="703"/>
      <c r="F24" s="703"/>
      <c r="G24" s="703"/>
      <c r="H24" s="703"/>
      <c r="I24" s="703"/>
    </row>
  </sheetData>
  <mergeCells count="18">
    <mergeCell ref="C12:I12"/>
    <mergeCell ref="C19:I19"/>
    <mergeCell ref="C20:I20"/>
    <mergeCell ref="C21:I21"/>
    <mergeCell ref="C22:I22"/>
    <mergeCell ref="C13:I13"/>
    <mergeCell ref="C14:I14"/>
    <mergeCell ref="C15:I15"/>
    <mergeCell ref="B3:H3"/>
    <mergeCell ref="B4:H4"/>
    <mergeCell ref="C9:I9"/>
    <mergeCell ref="C10:I10"/>
    <mergeCell ref="C11:I11"/>
    <mergeCell ref="C16:I16"/>
    <mergeCell ref="C17:I17"/>
    <mergeCell ref="C24:I24"/>
    <mergeCell ref="C18:I18"/>
    <mergeCell ref="C23:I2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155"/>
  <sheetViews>
    <sheetView showGridLines="0" showZeros="0" workbookViewId="0">
      <pane ySplit="5" topLeftCell="A6" activePane="bottomLeft" state="frozen"/>
      <selection pane="bottomLeft" activeCell="K22" sqref="K22"/>
    </sheetView>
  </sheetViews>
  <sheetFormatPr defaultColWidth="0" defaultRowHeight="12.75" zeroHeight="1"/>
  <cols>
    <col min="1" max="1" width="19.42578125" style="108" customWidth="1"/>
    <col min="2" max="2" width="20.28515625" style="108" customWidth="1"/>
    <col min="3" max="3" width="9.140625" style="111" bestFit="1" customWidth="1"/>
    <col min="4" max="4" width="10.7109375" style="108" customWidth="1"/>
    <col min="5" max="17" width="9.7109375" style="108" customWidth="1"/>
    <col min="18" max="20" width="9.7109375" style="108" hidden="1" customWidth="1"/>
    <col min="21" max="21" width="11.7109375" style="108" hidden="1" customWidth="1"/>
    <col min="22" max="22" width="11.28515625" style="108" hidden="1" customWidth="1"/>
    <col min="23" max="23" width="0" style="108" hidden="1" customWidth="1"/>
    <col min="24" max="16384" width="0" style="108" hidden="1"/>
  </cols>
  <sheetData>
    <row r="1" spans="1:16" ht="12.75" customHeight="1">
      <c r="A1" s="855" t="s">
        <v>611</v>
      </c>
      <c r="B1" s="855"/>
      <c r="C1" s="855"/>
      <c r="K1" s="109"/>
      <c r="L1" s="109"/>
      <c r="M1" s="109"/>
      <c r="N1" s="109"/>
      <c r="O1" s="109"/>
      <c r="P1" s="138" t="s">
        <v>710</v>
      </c>
    </row>
    <row r="2" spans="1:16">
      <c r="A2" s="856" t="str">
        <f>'ТИП-ПРОИЗ'!B3</f>
        <v>"ИНЕРТСТРОЙ-КАЛЕТО"АД</v>
      </c>
      <c r="B2" s="856"/>
      <c r="C2" s="856"/>
      <c r="K2" s="109"/>
      <c r="L2" s="109"/>
      <c r="M2" s="109"/>
      <c r="N2" s="109"/>
      <c r="O2" s="109"/>
      <c r="P2" s="109"/>
    </row>
    <row r="3" spans="1:16"/>
    <row r="4" spans="1:16">
      <c r="A4" s="862">
        <f>'ТИП-ПРОИЗ'!F6</f>
        <v>7.2016</v>
      </c>
      <c r="B4" s="863"/>
      <c r="C4" s="867" t="s">
        <v>161</v>
      </c>
      <c r="D4" s="112" t="s">
        <v>402</v>
      </c>
      <c r="E4" s="113">
        <f>DATE($A$4,D5,1)</f>
        <v>2739</v>
      </c>
      <c r="F4" s="113">
        <f t="shared" ref="F4:P4" si="0">DATE($A$4,$D$5+E5,1)</f>
        <v>2770</v>
      </c>
      <c r="G4" s="113">
        <f t="shared" si="0"/>
        <v>2801</v>
      </c>
      <c r="H4" s="113">
        <f t="shared" si="0"/>
        <v>2831</v>
      </c>
      <c r="I4" s="113">
        <f t="shared" si="0"/>
        <v>2862</v>
      </c>
      <c r="J4" s="113">
        <f t="shared" si="0"/>
        <v>2892</v>
      </c>
      <c r="K4" s="113">
        <f t="shared" si="0"/>
        <v>2923</v>
      </c>
      <c r="L4" s="113">
        <f t="shared" si="0"/>
        <v>2954</v>
      </c>
      <c r="M4" s="113">
        <f t="shared" si="0"/>
        <v>2983</v>
      </c>
      <c r="N4" s="113">
        <f t="shared" si="0"/>
        <v>3014</v>
      </c>
      <c r="O4" s="113">
        <f t="shared" si="0"/>
        <v>3044</v>
      </c>
      <c r="P4" s="113">
        <f t="shared" si="0"/>
        <v>3075</v>
      </c>
    </row>
    <row r="5" spans="1:16">
      <c r="A5" s="864"/>
      <c r="B5" s="865"/>
      <c r="C5" s="867"/>
      <c r="D5" s="143">
        <v>7</v>
      </c>
      <c r="E5" s="114">
        <v>1</v>
      </c>
      <c r="F5" s="114">
        <v>2</v>
      </c>
      <c r="G5" s="114">
        <v>3</v>
      </c>
      <c r="H5" s="114">
        <v>4</v>
      </c>
      <c r="I5" s="114">
        <v>5</v>
      </c>
      <c r="J5" s="114">
        <v>6</v>
      </c>
      <c r="K5" s="114">
        <v>7</v>
      </c>
      <c r="L5" s="114">
        <v>8</v>
      </c>
      <c r="M5" s="114">
        <v>9</v>
      </c>
      <c r="N5" s="114">
        <v>10</v>
      </c>
      <c r="O5" s="114">
        <v>11</v>
      </c>
      <c r="P5" s="114">
        <v>12</v>
      </c>
    </row>
    <row r="6" spans="1:16" ht="12.75" customHeight="1">
      <c r="A6" s="866" t="s">
        <v>714</v>
      </c>
      <c r="B6" s="538" t="s">
        <v>716</v>
      </c>
      <c r="C6" s="539"/>
      <c r="D6" s="117"/>
      <c r="E6" s="541"/>
      <c r="F6" s="541"/>
      <c r="G6" s="541"/>
      <c r="H6" s="541"/>
      <c r="I6" s="541"/>
      <c r="J6" s="541"/>
      <c r="K6" s="541"/>
      <c r="L6" s="541"/>
      <c r="M6" s="541"/>
      <c r="N6" s="541"/>
      <c r="O6" s="541"/>
      <c r="P6" s="541"/>
    </row>
    <row r="7" spans="1:16" ht="12.75" customHeight="1">
      <c r="A7" s="866"/>
      <c r="B7" s="538" t="s">
        <v>717</v>
      </c>
      <c r="C7" s="539"/>
      <c r="D7" s="117"/>
      <c r="E7" s="541"/>
      <c r="F7" s="541"/>
      <c r="G7" s="541"/>
      <c r="H7" s="541"/>
      <c r="I7" s="541"/>
      <c r="J7" s="541"/>
      <c r="K7" s="541"/>
      <c r="L7" s="541"/>
      <c r="M7" s="541"/>
      <c r="N7" s="541"/>
      <c r="O7" s="541"/>
      <c r="P7" s="541"/>
    </row>
    <row r="8" spans="1:16">
      <c r="A8" s="866"/>
      <c r="B8" s="540" t="s">
        <v>715</v>
      </c>
      <c r="C8" s="540"/>
      <c r="D8" s="117"/>
      <c r="E8" s="537"/>
      <c r="F8" s="537"/>
      <c r="G8" s="537"/>
      <c r="H8" s="537"/>
      <c r="I8" s="537"/>
      <c r="J8" s="537"/>
      <c r="K8" s="537"/>
      <c r="L8" s="537"/>
      <c r="M8" s="537"/>
      <c r="N8" s="537"/>
      <c r="O8" s="537"/>
      <c r="P8" s="537"/>
    </row>
    <row r="9" spans="1:16">
      <c r="A9" s="868" t="s">
        <v>557</v>
      </c>
      <c r="B9" s="115" t="s">
        <v>403</v>
      </c>
      <c r="C9" s="116" t="s">
        <v>70</v>
      </c>
      <c r="D9" s="117">
        <f>SUM(E9:P9)</f>
        <v>0</v>
      </c>
      <c r="E9" s="117">
        <f t="shared" ref="E9:P9" si="1">SUM(E10:E11)</f>
        <v>0</v>
      </c>
      <c r="F9" s="117">
        <f t="shared" si="1"/>
        <v>0</v>
      </c>
      <c r="G9" s="117">
        <f t="shared" si="1"/>
        <v>0</v>
      </c>
      <c r="H9" s="117">
        <f t="shared" si="1"/>
        <v>0</v>
      </c>
      <c r="I9" s="117">
        <f t="shared" si="1"/>
        <v>0</v>
      </c>
      <c r="J9" s="117">
        <f t="shared" si="1"/>
        <v>0</v>
      </c>
      <c r="K9" s="117">
        <f t="shared" si="1"/>
        <v>0</v>
      </c>
      <c r="L9" s="117">
        <f t="shared" si="1"/>
        <v>0</v>
      </c>
      <c r="M9" s="117">
        <f t="shared" si="1"/>
        <v>0</v>
      </c>
      <c r="N9" s="117">
        <f t="shared" si="1"/>
        <v>0</v>
      </c>
      <c r="O9" s="117">
        <f t="shared" si="1"/>
        <v>0</v>
      </c>
      <c r="P9" s="117">
        <f t="shared" si="1"/>
        <v>0</v>
      </c>
    </row>
    <row r="10" spans="1:16">
      <c r="A10" s="869"/>
      <c r="B10" s="115" t="s">
        <v>404</v>
      </c>
      <c r="C10" s="116" t="s">
        <v>70</v>
      </c>
      <c r="D10" s="117">
        <f t="shared" ref="D10:D17" si="2">SUM(E10:P10)</f>
        <v>0</v>
      </c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</row>
    <row r="11" spans="1:16">
      <c r="A11" s="870"/>
      <c r="B11" s="115" t="s">
        <v>405</v>
      </c>
      <c r="C11" s="116" t="s">
        <v>70</v>
      </c>
      <c r="D11" s="117">
        <f t="shared" si="2"/>
        <v>0</v>
      </c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</row>
    <row r="12" spans="1:16">
      <c r="A12" s="857" t="s">
        <v>769</v>
      </c>
      <c r="B12" s="115" t="s">
        <v>403</v>
      </c>
      <c r="C12" s="116" t="s">
        <v>70</v>
      </c>
      <c r="D12" s="117">
        <f t="shared" si="2"/>
        <v>0</v>
      </c>
      <c r="E12" s="117">
        <f t="shared" ref="E12:P12" si="3">SUM(E13:E14)</f>
        <v>0</v>
      </c>
      <c r="F12" s="117">
        <f t="shared" si="3"/>
        <v>0</v>
      </c>
      <c r="G12" s="117">
        <f t="shared" si="3"/>
        <v>0</v>
      </c>
      <c r="H12" s="117">
        <f t="shared" si="3"/>
        <v>0</v>
      </c>
      <c r="I12" s="117">
        <f t="shared" si="3"/>
        <v>0</v>
      </c>
      <c r="J12" s="117">
        <f t="shared" si="3"/>
        <v>0</v>
      </c>
      <c r="K12" s="117">
        <f t="shared" si="3"/>
        <v>0</v>
      </c>
      <c r="L12" s="117">
        <f t="shared" si="3"/>
        <v>0</v>
      </c>
      <c r="M12" s="117">
        <f t="shared" si="3"/>
        <v>0</v>
      </c>
      <c r="N12" s="117">
        <f t="shared" si="3"/>
        <v>0</v>
      </c>
      <c r="O12" s="117">
        <f t="shared" si="3"/>
        <v>0</v>
      </c>
      <c r="P12" s="117">
        <f t="shared" si="3"/>
        <v>0</v>
      </c>
    </row>
    <row r="13" spans="1:16">
      <c r="A13" s="858"/>
      <c r="B13" s="115" t="s">
        <v>404</v>
      </c>
      <c r="C13" s="116" t="s">
        <v>70</v>
      </c>
      <c r="D13" s="117">
        <f t="shared" si="2"/>
        <v>0</v>
      </c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</row>
    <row r="14" spans="1:16">
      <c r="A14" s="859"/>
      <c r="B14" s="115" t="s">
        <v>405</v>
      </c>
      <c r="C14" s="116" t="s">
        <v>70</v>
      </c>
      <c r="D14" s="117">
        <f t="shared" si="2"/>
        <v>0</v>
      </c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</row>
    <row r="15" spans="1:16">
      <c r="A15" s="857" t="s">
        <v>770</v>
      </c>
      <c r="B15" s="115" t="s">
        <v>403</v>
      </c>
      <c r="C15" s="116" t="s">
        <v>70</v>
      </c>
      <c r="D15" s="117">
        <f t="shared" si="2"/>
        <v>0</v>
      </c>
      <c r="E15" s="117">
        <f t="shared" ref="E15:P15" si="4">SUM(E16:E17)</f>
        <v>0</v>
      </c>
      <c r="F15" s="117">
        <f t="shared" si="4"/>
        <v>0</v>
      </c>
      <c r="G15" s="117">
        <f t="shared" si="4"/>
        <v>0</v>
      </c>
      <c r="H15" s="117">
        <f t="shared" si="4"/>
        <v>0</v>
      </c>
      <c r="I15" s="117">
        <f t="shared" si="4"/>
        <v>0</v>
      </c>
      <c r="J15" s="117">
        <f t="shared" si="4"/>
        <v>0</v>
      </c>
      <c r="K15" s="117">
        <f t="shared" si="4"/>
        <v>0</v>
      </c>
      <c r="L15" s="117">
        <f t="shared" si="4"/>
        <v>0</v>
      </c>
      <c r="M15" s="117">
        <f t="shared" si="4"/>
        <v>0</v>
      </c>
      <c r="N15" s="117">
        <f t="shared" si="4"/>
        <v>0</v>
      </c>
      <c r="O15" s="117">
        <f t="shared" si="4"/>
        <v>0</v>
      </c>
      <c r="P15" s="117">
        <f t="shared" si="4"/>
        <v>0</v>
      </c>
    </row>
    <row r="16" spans="1:16">
      <c r="A16" s="858"/>
      <c r="B16" s="115" t="s">
        <v>404</v>
      </c>
      <c r="C16" s="116" t="s">
        <v>70</v>
      </c>
      <c r="D16" s="117">
        <f t="shared" si="2"/>
        <v>0</v>
      </c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</row>
    <row r="17" spans="1:16">
      <c r="A17" s="859"/>
      <c r="B17" s="115" t="s">
        <v>405</v>
      </c>
      <c r="C17" s="116" t="s">
        <v>70</v>
      </c>
      <c r="D17" s="117">
        <f t="shared" si="2"/>
        <v>0</v>
      </c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</row>
    <row r="18" spans="1:16">
      <c r="A18" s="119"/>
      <c r="B18" s="120"/>
      <c r="C18" s="121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</row>
    <row r="19" spans="1:16">
      <c r="A19" s="115" t="s">
        <v>558</v>
      </c>
      <c r="B19" s="115" t="s">
        <v>403</v>
      </c>
      <c r="C19" s="116" t="s">
        <v>70</v>
      </c>
      <c r="D19" s="117">
        <f>SUM(E19:P19)</f>
        <v>0</v>
      </c>
      <c r="E19" s="117">
        <f t="shared" ref="E19:P19" si="5">SUM(E20:E21)</f>
        <v>0</v>
      </c>
      <c r="F19" s="117">
        <f t="shared" si="5"/>
        <v>0</v>
      </c>
      <c r="G19" s="117">
        <f t="shared" si="5"/>
        <v>0</v>
      </c>
      <c r="H19" s="117">
        <f t="shared" si="5"/>
        <v>0</v>
      </c>
      <c r="I19" s="117">
        <f t="shared" si="5"/>
        <v>0</v>
      </c>
      <c r="J19" s="117">
        <f t="shared" si="5"/>
        <v>0</v>
      </c>
      <c r="K19" s="117">
        <f t="shared" si="5"/>
        <v>0</v>
      </c>
      <c r="L19" s="117">
        <f t="shared" si="5"/>
        <v>0</v>
      </c>
      <c r="M19" s="117">
        <f t="shared" si="5"/>
        <v>0</v>
      </c>
      <c r="N19" s="117">
        <f t="shared" si="5"/>
        <v>0</v>
      </c>
      <c r="O19" s="117">
        <f t="shared" si="5"/>
        <v>0</v>
      </c>
      <c r="P19" s="117">
        <f t="shared" si="5"/>
        <v>0</v>
      </c>
    </row>
    <row r="20" spans="1:16">
      <c r="A20" s="123" t="s">
        <v>407</v>
      </c>
      <c r="B20" s="115" t="s">
        <v>404</v>
      </c>
      <c r="C20" s="116" t="s">
        <v>70</v>
      </c>
      <c r="D20" s="117">
        <f>SUM(E20:P20)</f>
        <v>0</v>
      </c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</row>
    <row r="21" spans="1:16">
      <c r="A21" s="118" t="s">
        <v>408</v>
      </c>
      <c r="B21" s="115" t="s">
        <v>405</v>
      </c>
      <c r="C21" s="116" t="s">
        <v>70</v>
      </c>
      <c r="D21" s="117">
        <f>SUM(E21:P21)</f>
        <v>0</v>
      </c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</row>
    <row r="22" spans="1:16">
      <c r="A22" s="115" t="s">
        <v>249</v>
      </c>
      <c r="B22" s="115" t="s">
        <v>687</v>
      </c>
      <c r="C22" s="112" t="s">
        <v>7</v>
      </c>
      <c r="D22" s="508">
        <f t="shared" ref="D22:P22" si="6">IF(D23=0,0,D19/D23)</f>
        <v>0</v>
      </c>
      <c r="E22" s="508">
        <f t="shared" si="6"/>
        <v>0</v>
      </c>
      <c r="F22" s="508">
        <f t="shared" si="6"/>
        <v>0</v>
      </c>
      <c r="G22" s="508">
        <f t="shared" si="6"/>
        <v>0</v>
      </c>
      <c r="H22" s="508">
        <f t="shared" si="6"/>
        <v>0</v>
      </c>
      <c r="I22" s="508">
        <f t="shared" si="6"/>
        <v>0</v>
      </c>
      <c r="J22" s="508">
        <f t="shared" si="6"/>
        <v>0</v>
      </c>
      <c r="K22" s="508">
        <f t="shared" si="6"/>
        <v>0</v>
      </c>
      <c r="L22" s="508">
        <f t="shared" si="6"/>
        <v>0</v>
      </c>
      <c r="M22" s="508">
        <f t="shared" si="6"/>
        <v>0</v>
      </c>
      <c r="N22" s="508">
        <f t="shared" si="6"/>
        <v>0</v>
      </c>
      <c r="O22" s="508">
        <f t="shared" si="6"/>
        <v>0</v>
      </c>
      <c r="P22" s="508">
        <f t="shared" si="6"/>
        <v>0</v>
      </c>
    </row>
    <row r="23" spans="1:16">
      <c r="A23" s="860" t="s">
        <v>559</v>
      </c>
      <c r="B23" s="124" t="s">
        <v>680</v>
      </c>
      <c r="C23" s="116" t="s">
        <v>70</v>
      </c>
      <c r="D23" s="117">
        <f>SUM(E23:P23)</f>
        <v>0</v>
      </c>
      <c r="E23" s="125">
        <f>SUMPRODUCT($B$25:$B$26,E25:E26)/860</f>
        <v>0</v>
      </c>
      <c r="F23" s="125">
        <f t="shared" ref="F23:P23" si="7">SUMPRODUCT($B$25:$B$26,F25:F26)/860</f>
        <v>0</v>
      </c>
      <c r="G23" s="125">
        <f t="shared" si="7"/>
        <v>0</v>
      </c>
      <c r="H23" s="125">
        <f t="shared" si="7"/>
        <v>0</v>
      </c>
      <c r="I23" s="125">
        <f t="shared" si="7"/>
        <v>0</v>
      </c>
      <c r="J23" s="125">
        <f t="shared" si="7"/>
        <v>0</v>
      </c>
      <c r="K23" s="125">
        <f t="shared" si="7"/>
        <v>0</v>
      </c>
      <c r="L23" s="125">
        <f t="shared" si="7"/>
        <v>0</v>
      </c>
      <c r="M23" s="125">
        <f t="shared" si="7"/>
        <v>0</v>
      </c>
      <c r="N23" s="125">
        <f t="shared" si="7"/>
        <v>0</v>
      </c>
      <c r="O23" s="125">
        <f t="shared" si="7"/>
        <v>0</v>
      </c>
      <c r="P23" s="125">
        <f t="shared" si="7"/>
        <v>0</v>
      </c>
    </row>
    <row r="24" spans="1:16" ht="14.25">
      <c r="A24" s="861"/>
      <c r="B24" s="124" t="s">
        <v>410</v>
      </c>
      <c r="C24" s="112" t="s">
        <v>409</v>
      </c>
      <c r="D24" s="117">
        <f>SUM(E24:P24)</f>
        <v>0</v>
      </c>
      <c r="E24" s="126">
        <f t="shared" ref="E24:P24" si="8">E23*0.86/7</f>
        <v>0</v>
      </c>
      <c r="F24" s="126">
        <f t="shared" si="8"/>
        <v>0</v>
      </c>
      <c r="G24" s="126">
        <f t="shared" si="8"/>
        <v>0</v>
      </c>
      <c r="H24" s="126">
        <f t="shared" si="8"/>
        <v>0</v>
      </c>
      <c r="I24" s="126">
        <f t="shared" si="8"/>
        <v>0</v>
      </c>
      <c r="J24" s="126">
        <f t="shared" si="8"/>
        <v>0</v>
      </c>
      <c r="K24" s="126">
        <f t="shared" si="8"/>
        <v>0</v>
      </c>
      <c r="L24" s="126">
        <f t="shared" si="8"/>
        <v>0</v>
      </c>
      <c r="M24" s="126">
        <f t="shared" si="8"/>
        <v>0</v>
      </c>
      <c r="N24" s="126">
        <f t="shared" si="8"/>
        <v>0</v>
      </c>
      <c r="O24" s="126">
        <f t="shared" si="8"/>
        <v>0</v>
      </c>
      <c r="P24" s="126">
        <f t="shared" si="8"/>
        <v>0</v>
      </c>
    </row>
    <row r="25" spans="1:16" ht="15.75">
      <c r="A25" s="123" t="s">
        <v>560</v>
      </c>
      <c r="B25" s="676">
        <v>8000</v>
      </c>
      <c r="C25" s="677" t="s">
        <v>381</v>
      </c>
      <c r="D25" s="117">
        <f>SUM(E25:P25)</f>
        <v>0</v>
      </c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</row>
    <row r="26" spans="1:16" ht="15.75">
      <c r="A26" s="118" t="s">
        <v>561</v>
      </c>
      <c r="B26" s="676">
        <v>8000</v>
      </c>
      <c r="C26" s="677" t="s">
        <v>381</v>
      </c>
      <c r="D26" s="117">
        <f>SUM(E26:P26)</f>
        <v>0</v>
      </c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</row>
    <row r="27" spans="1:16" s="127" customFormat="1" ht="11.25" customHeight="1"/>
    <row r="28" spans="1:16">
      <c r="A28" s="128" t="s">
        <v>679</v>
      </c>
      <c r="B28" s="124" t="s">
        <v>680</v>
      </c>
      <c r="C28" s="116" t="s">
        <v>70</v>
      </c>
      <c r="D28" s="117">
        <f t="shared" ref="D28:D34" si="9">SUM(E28:P28)</f>
        <v>0</v>
      </c>
      <c r="E28" s="125">
        <f>SUMPRODUCT($A$30:$A$34,E30:E34)/860</f>
        <v>0</v>
      </c>
      <c r="F28" s="125">
        <f t="shared" ref="F28:P28" si="10">SUMPRODUCT($A$30:$A$34,F30:F34)/860</f>
        <v>0</v>
      </c>
      <c r="G28" s="125">
        <f t="shared" si="10"/>
        <v>0</v>
      </c>
      <c r="H28" s="125">
        <f t="shared" si="10"/>
        <v>0</v>
      </c>
      <c r="I28" s="125">
        <f t="shared" si="10"/>
        <v>0</v>
      </c>
      <c r="J28" s="125">
        <f t="shared" si="10"/>
        <v>0</v>
      </c>
      <c r="K28" s="125">
        <f t="shared" si="10"/>
        <v>0</v>
      </c>
      <c r="L28" s="125">
        <f t="shared" si="10"/>
        <v>0</v>
      </c>
      <c r="M28" s="125">
        <f t="shared" si="10"/>
        <v>0</v>
      </c>
      <c r="N28" s="125">
        <f t="shared" si="10"/>
        <v>0</v>
      </c>
      <c r="O28" s="125">
        <f t="shared" si="10"/>
        <v>0</v>
      </c>
      <c r="P28" s="125">
        <f t="shared" si="10"/>
        <v>0</v>
      </c>
    </row>
    <row r="29" spans="1:16" ht="14.25">
      <c r="A29" s="129"/>
      <c r="B29" s="124" t="s">
        <v>410</v>
      </c>
      <c r="C29" s="112" t="s">
        <v>409</v>
      </c>
      <c r="D29" s="117">
        <f t="shared" si="9"/>
        <v>0</v>
      </c>
      <c r="E29" s="126">
        <f t="shared" ref="E29:P29" si="11">E28*0.86/7</f>
        <v>0</v>
      </c>
      <c r="F29" s="126">
        <f t="shared" si="11"/>
        <v>0</v>
      </c>
      <c r="G29" s="126">
        <f t="shared" si="11"/>
        <v>0</v>
      </c>
      <c r="H29" s="126">
        <f t="shared" si="11"/>
        <v>0</v>
      </c>
      <c r="I29" s="126">
        <f t="shared" si="11"/>
        <v>0</v>
      </c>
      <c r="J29" s="126">
        <f t="shared" si="11"/>
        <v>0</v>
      </c>
      <c r="K29" s="126">
        <f t="shared" si="11"/>
        <v>0</v>
      </c>
      <c r="L29" s="126">
        <f t="shared" si="11"/>
        <v>0</v>
      </c>
      <c r="M29" s="126">
        <f t="shared" si="11"/>
        <v>0</v>
      </c>
      <c r="N29" s="126">
        <f t="shared" si="11"/>
        <v>0</v>
      </c>
      <c r="O29" s="126">
        <f t="shared" si="11"/>
        <v>0</v>
      </c>
      <c r="P29" s="126">
        <f t="shared" si="11"/>
        <v>0</v>
      </c>
    </row>
    <row r="30" spans="1:16" ht="15.75">
      <c r="A30" s="145">
        <v>8000</v>
      </c>
      <c r="B30" s="124" t="s">
        <v>9</v>
      </c>
      <c r="C30" s="112" t="s">
        <v>381</v>
      </c>
      <c r="D30" s="117">
        <f t="shared" si="9"/>
        <v>0</v>
      </c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</row>
    <row r="31" spans="1:16">
      <c r="A31" s="78">
        <v>9500</v>
      </c>
      <c r="B31" s="124" t="s">
        <v>10</v>
      </c>
      <c r="C31" s="112" t="s">
        <v>23</v>
      </c>
      <c r="D31" s="117">
        <f t="shared" si="9"/>
        <v>0</v>
      </c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</row>
    <row r="32" spans="1:16">
      <c r="A32" s="78">
        <v>10500</v>
      </c>
      <c r="B32" s="124" t="s">
        <v>12</v>
      </c>
      <c r="C32" s="112" t="s">
        <v>23</v>
      </c>
      <c r="D32" s="117">
        <f t="shared" si="9"/>
        <v>0</v>
      </c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</row>
    <row r="33" spans="1:16">
      <c r="A33" s="78">
        <v>6000</v>
      </c>
      <c r="B33" s="124" t="s">
        <v>11</v>
      </c>
      <c r="C33" s="112" t="s">
        <v>23</v>
      </c>
      <c r="D33" s="117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</row>
    <row r="34" spans="1:16" ht="15.75">
      <c r="A34" s="79">
        <v>6000</v>
      </c>
      <c r="B34" s="124" t="s">
        <v>411</v>
      </c>
      <c r="C34" s="112" t="s">
        <v>412</v>
      </c>
      <c r="D34" s="117">
        <f t="shared" si="9"/>
        <v>0</v>
      </c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</row>
    <row r="35" spans="1:16" s="127" customFormat="1"/>
    <row r="36" spans="1:16">
      <c r="A36" s="130" t="s">
        <v>682</v>
      </c>
      <c r="B36" s="131" t="s">
        <v>681</v>
      </c>
      <c r="C36" s="116" t="s">
        <v>70</v>
      </c>
      <c r="D36" s="117">
        <f>SUM(E36:P36)</f>
        <v>0</v>
      </c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</row>
    <row r="37" spans="1:16">
      <c r="A37" s="130" t="s">
        <v>683</v>
      </c>
      <c r="B37" s="131"/>
      <c r="C37" s="116" t="s">
        <v>70</v>
      </c>
      <c r="D37" s="117">
        <f>SUM(E37:P37)</f>
        <v>0</v>
      </c>
      <c r="E37" s="144"/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</row>
    <row r="38" spans="1:16">
      <c r="A38" s="130" t="s">
        <v>684</v>
      </c>
      <c r="B38" s="131"/>
      <c r="C38" s="116" t="s">
        <v>70</v>
      </c>
      <c r="D38" s="117">
        <f>SUM(E38:P38)</f>
        <v>0</v>
      </c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</row>
    <row r="39" spans="1:16">
      <c r="A39" s="854" t="s">
        <v>16</v>
      </c>
      <c r="B39" s="132"/>
      <c r="C39" s="116" t="s">
        <v>70</v>
      </c>
      <c r="D39" s="117">
        <f>SUM(E39:P39)</f>
        <v>0</v>
      </c>
      <c r="E39" s="144"/>
      <c r="F39" s="144"/>
      <c r="G39" s="144"/>
      <c r="H39" s="144"/>
      <c r="I39" s="144"/>
      <c r="J39" s="144"/>
      <c r="K39" s="144"/>
      <c r="L39" s="144"/>
      <c r="M39" s="144"/>
      <c r="N39" s="144"/>
      <c r="O39" s="144"/>
      <c r="P39" s="144"/>
    </row>
    <row r="40" spans="1:16">
      <c r="A40" s="854"/>
      <c r="B40" s="132"/>
      <c r="C40" s="112" t="s">
        <v>7</v>
      </c>
      <c r="D40" s="133">
        <f t="shared" ref="D40:P40" si="12">IF(D36=0,0,D39/D36)</f>
        <v>0</v>
      </c>
      <c r="E40" s="133">
        <f t="shared" si="12"/>
        <v>0</v>
      </c>
      <c r="F40" s="133">
        <f t="shared" si="12"/>
        <v>0</v>
      </c>
      <c r="G40" s="133">
        <f t="shared" si="12"/>
        <v>0</v>
      </c>
      <c r="H40" s="133">
        <f t="shared" si="12"/>
        <v>0</v>
      </c>
      <c r="I40" s="133">
        <f t="shared" si="12"/>
        <v>0</v>
      </c>
      <c r="J40" s="133">
        <f t="shared" si="12"/>
        <v>0</v>
      </c>
      <c r="K40" s="133">
        <f t="shared" si="12"/>
        <v>0</v>
      </c>
      <c r="L40" s="133">
        <f t="shared" si="12"/>
        <v>0</v>
      </c>
      <c r="M40" s="133">
        <f t="shared" si="12"/>
        <v>0</v>
      </c>
      <c r="N40" s="133">
        <f t="shared" si="12"/>
        <v>0</v>
      </c>
      <c r="O40" s="133">
        <f t="shared" si="12"/>
        <v>0</v>
      </c>
      <c r="P40" s="133">
        <f t="shared" si="12"/>
        <v>0</v>
      </c>
    </row>
    <row r="41" spans="1:16" ht="20.25">
      <c r="A41" s="853" t="s">
        <v>413</v>
      </c>
      <c r="B41" s="134" t="s">
        <v>403</v>
      </c>
      <c r="C41" s="116" t="s">
        <v>70</v>
      </c>
      <c r="D41" s="135">
        <f t="shared" ref="D41:D46" si="13">SUM(E41:P41)</f>
        <v>0</v>
      </c>
      <c r="E41" s="117">
        <f t="shared" ref="E41:P41" si="14">SUM(E36,-E39)</f>
        <v>0</v>
      </c>
      <c r="F41" s="117">
        <f t="shared" si="14"/>
        <v>0</v>
      </c>
      <c r="G41" s="117">
        <f t="shared" si="14"/>
        <v>0</v>
      </c>
      <c r="H41" s="117">
        <f t="shared" si="14"/>
        <v>0</v>
      </c>
      <c r="I41" s="117">
        <f t="shared" si="14"/>
        <v>0</v>
      </c>
      <c r="J41" s="117">
        <f t="shared" si="14"/>
        <v>0</v>
      </c>
      <c r="K41" s="117">
        <f t="shared" si="14"/>
        <v>0</v>
      </c>
      <c r="L41" s="117">
        <f t="shared" si="14"/>
        <v>0</v>
      </c>
      <c r="M41" s="117">
        <f t="shared" si="14"/>
        <v>0</v>
      </c>
      <c r="N41" s="117">
        <f t="shared" si="14"/>
        <v>0</v>
      </c>
      <c r="O41" s="117">
        <f t="shared" si="14"/>
        <v>0</v>
      </c>
      <c r="P41" s="117">
        <f t="shared" si="14"/>
        <v>0</v>
      </c>
    </row>
    <row r="42" spans="1:16">
      <c r="A42" s="853"/>
      <c r="B42" s="131" t="s">
        <v>686</v>
      </c>
      <c r="C42" s="116" t="s">
        <v>70</v>
      </c>
      <c r="D42" s="117">
        <f t="shared" si="13"/>
        <v>0</v>
      </c>
      <c r="E42" s="144"/>
      <c r="F42" s="144"/>
      <c r="G42" s="144"/>
      <c r="H42" s="144"/>
      <c r="I42" s="144"/>
      <c r="J42" s="144"/>
      <c r="K42" s="144"/>
      <c r="L42" s="144"/>
      <c r="M42" s="144"/>
      <c r="N42" s="144"/>
      <c r="O42" s="144"/>
      <c r="P42" s="144"/>
    </row>
    <row r="43" spans="1:16">
      <c r="A43" s="853"/>
      <c r="B43" s="131" t="s">
        <v>685</v>
      </c>
      <c r="C43" s="116" t="s">
        <v>70</v>
      </c>
      <c r="D43" s="135">
        <f t="shared" si="13"/>
        <v>0</v>
      </c>
      <c r="E43" s="126">
        <f>SUM(E41,-E42)</f>
        <v>0</v>
      </c>
      <c r="F43" s="126">
        <f t="shared" ref="F43:P43" si="15">SUM(F41,-F42)</f>
        <v>0</v>
      </c>
      <c r="G43" s="126">
        <f t="shared" si="15"/>
        <v>0</v>
      </c>
      <c r="H43" s="126">
        <f t="shared" si="15"/>
        <v>0</v>
      </c>
      <c r="I43" s="126">
        <f t="shared" si="15"/>
        <v>0</v>
      </c>
      <c r="J43" s="126">
        <f t="shared" si="15"/>
        <v>0</v>
      </c>
      <c r="K43" s="126">
        <f t="shared" si="15"/>
        <v>0</v>
      </c>
      <c r="L43" s="126">
        <f t="shared" si="15"/>
        <v>0</v>
      </c>
      <c r="M43" s="126">
        <f t="shared" si="15"/>
        <v>0</v>
      </c>
      <c r="N43" s="126">
        <f t="shared" si="15"/>
        <v>0</v>
      </c>
      <c r="O43" s="126">
        <f t="shared" si="15"/>
        <v>0</v>
      </c>
      <c r="P43" s="126">
        <f t="shared" si="15"/>
        <v>0</v>
      </c>
    </row>
    <row r="44" spans="1:16">
      <c r="A44" s="853" t="s">
        <v>417</v>
      </c>
      <c r="B44" s="136" t="s">
        <v>414</v>
      </c>
      <c r="C44" s="116" t="s">
        <v>70</v>
      </c>
      <c r="D44" s="117">
        <f t="shared" si="13"/>
        <v>0</v>
      </c>
      <c r="E44" s="117">
        <f>SUM(E43,-E45,-E46)</f>
        <v>0</v>
      </c>
      <c r="F44" s="117">
        <f t="shared" ref="F44:P44" si="16">SUM(F43,-F45,-F46)</f>
        <v>0</v>
      </c>
      <c r="G44" s="117">
        <f t="shared" si="16"/>
        <v>0</v>
      </c>
      <c r="H44" s="117">
        <f t="shared" si="16"/>
        <v>0</v>
      </c>
      <c r="I44" s="117">
        <f t="shared" si="16"/>
        <v>0</v>
      </c>
      <c r="J44" s="117">
        <f t="shared" si="16"/>
        <v>0</v>
      </c>
      <c r="K44" s="117">
        <f t="shared" si="16"/>
        <v>0</v>
      </c>
      <c r="L44" s="117">
        <f t="shared" si="16"/>
        <v>0</v>
      </c>
      <c r="M44" s="117">
        <f t="shared" si="16"/>
        <v>0</v>
      </c>
      <c r="N44" s="117">
        <f t="shared" si="16"/>
        <v>0</v>
      </c>
      <c r="O44" s="117">
        <f t="shared" si="16"/>
        <v>0</v>
      </c>
      <c r="P44" s="117">
        <f t="shared" si="16"/>
        <v>0</v>
      </c>
    </row>
    <row r="45" spans="1:16">
      <c r="A45" s="853"/>
      <c r="B45" s="136" t="s">
        <v>415</v>
      </c>
      <c r="C45" s="116" t="s">
        <v>70</v>
      </c>
      <c r="D45" s="117">
        <f t="shared" si="13"/>
        <v>0</v>
      </c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4"/>
      <c r="P45" s="144"/>
    </row>
    <row r="46" spans="1:16">
      <c r="A46" s="853"/>
      <c r="B46" s="136" t="s">
        <v>416</v>
      </c>
      <c r="C46" s="116" t="s">
        <v>70</v>
      </c>
      <c r="D46" s="117">
        <f t="shared" si="13"/>
        <v>0</v>
      </c>
      <c r="E46" s="144"/>
      <c r="F46" s="144"/>
      <c r="G46" s="144"/>
      <c r="H46" s="144"/>
      <c r="I46" s="144"/>
      <c r="J46" s="144"/>
      <c r="K46" s="144"/>
      <c r="L46" s="144"/>
      <c r="M46" s="144"/>
      <c r="N46" s="144"/>
      <c r="O46" s="144"/>
      <c r="P46" s="144"/>
    </row>
    <row r="47" spans="1:16">
      <c r="A47" s="852" t="s">
        <v>764</v>
      </c>
      <c r="B47" s="213" t="s">
        <v>404</v>
      </c>
      <c r="C47" s="116" t="s">
        <v>164</v>
      </c>
      <c r="D47" s="124"/>
      <c r="E47" s="144"/>
      <c r="F47" s="144"/>
      <c r="G47" s="144"/>
      <c r="H47" s="144"/>
      <c r="I47" s="144"/>
      <c r="J47" s="144"/>
      <c r="K47" s="144"/>
      <c r="L47" s="144"/>
      <c r="M47" s="144"/>
      <c r="N47" s="144"/>
      <c r="O47" s="144"/>
      <c r="P47" s="144"/>
    </row>
    <row r="48" spans="1:16">
      <c r="A48" s="852"/>
      <c r="B48" s="666" t="s">
        <v>405</v>
      </c>
      <c r="C48" s="116" t="s">
        <v>164</v>
      </c>
      <c r="D48" s="115"/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4"/>
      <c r="P48" s="144"/>
    </row>
    <row r="49" spans="1:16">
      <c r="A49" s="240"/>
      <c r="B49" s="667"/>
      <c r="C49" s="121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</row>
    <row r="50" spans="1:16">
      <c r="A50" s="240"/>
      <c r="B50" s="667"/>
      <c r="C50" s="121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</row>
    <row r="51" spans="1:16">
      <c r="B51" s="138" t="str">
        <f>'[2]Разходи-Произв.'!$A$79</f>
        <v>Гл. счетоводител:</v>
      </c>
      <c r="C51" s="108"/>
      <c r="G51" s="139" t="str">
        <f>'[2]Разходи-Произв.'!$E$79</f>
        <v>Изп. директор:</v>
      </c>
      <c r="I51" s="140"/>
      <c r="J51" s="140"/>
    </row>
    <row r="52" spans="1:16">
      <c r="A52" s="137"/>
      <c r="C52" s="141" t="str">
        <f>Разходи!$B$93</f>
        <v>Гл.счетоводител/ М.Тодорова /</v>
      </c>
      <c r="G52" s="140"/>
      <c r="H52" s="142" t="str">
        <f>Разходи!$F$93</f>
        <v>Изп.директор /Т.Йорданов/</v>
      </c>
      <c r="I52" s="142"/>
      <c r="J52" s="142"/>
    </row>
    <row r="53" spans="1:16">
      <c r="A53" s="137"/>
      <c r="B53" s="137"/>
      <c r="D53" s="137"/>
      <c r="E53" s="137"/>
      <c r="F53" s="137"/>
      <c r="G53" s="137"/>
      <c r="H53" s="137"/>
      <c r="I53" s="137"/>
      <c r="J53" s="137"/>
      <c r="K53" s="137"/>
      <c r="L53" s="137"/>
      <c r="M53" s="137"/>
      <c r="N53" s="137"/>
      <c r="O53" s="137"/>
      <c r="P53" s="137"/>
    </row>
    <row r="54" spans="1:16" hidden="1">
      <c r="A54" s="137"/>
      <c r="B54" s="137"/>
      <c r="D54" s="137"/>
      <c r="E54" s="137"/>
      <c r="F54" s="137"/>
      <c r="G54" s="137"/>
      <c r="H54" s="137"/>
      <c r="I54" s="137"/>
      <c r="J54" s="137"/>
      <c r="K54" s="137"/>
      <c r="L54" s="137"/>
      <c r="M54" s="137"/>
      <c r="N54" s="137"/>
      <c r="O54" s="137"/>
      <c r="P54" s="137"/>
    </row>
    <row r="55" spans="1:16" hidden="1">
      <c r="A55" s="137"/>
      <c r="B55" s="137"/>
      <c r="D55" s="137"/>
      <c r="E55" s="137"/>
      <c r="F55" s="137"/>
      <c r="G55" s="137"/>
      <c r="H55" s="137"/>
      <c r="I55" s="137"/>
      <c r="J55" s="137"/>
      <c r="K55" s="137"/>
      <c r="L55" s="137"/>
      <c r="M55" s="137"/>
      <c r="N55" s="137"/>
      <c r="O55" s="137"/>
      <c r="P55" s="137"/>
    </row>
    <row r="56" spans="1:16" hidden="1">
      <c r="A56" s="137"/>
      <c r="B56" s="137"/>
      <c r="D56" s="137"/>
      <c r="E56" s="137"/>
      <c r="F56" s="137"/>
      <c r="G56" s="137"/>
      <c r="H56" s="137"/>
      <c r="I56" s="137"/>
      <c r="J56" s="137"/>
      <c r="K56" s="137"/>
      <c r="L56" s="137"/>
      <c r="M56" s="137"/>
      <c r="N56" s="137"/>
      <c r="O56" s="137"/>
      <c r="P56" s="137"/>
    </row>
    <row r="57" spans="1:16" hidden="1">
      <c r="A57" s="137"/>
      <c r="B57" s="137"/>
      <c r="D57" s="137"/>
      <c r="E57" s="137"/>
      <c r="F57" s="137"/>
      <c r="G57" s="137"/>
      <c r="H57" s="137"/>
      <c r="I57" s="137"/>
      <c r="J57" s="137"/>
      <c r="K57" s="137"/>
      <c r="L57" s="137"/>
      <c r="M57" s="137"/>
      <c r="N57" s="137"/>
      <c r="O57" s="137"/>
      <c r="P57" s="137"/>
    </row>
    <row r="58" spans="1:16" hidden="1">
      <c r="A58" s="137"/>
      <c r="B58" s="137"/>
      <c r="D58" s="137"/>
      <c r="E58" s="137"/>
      <c r="F58" s="137"/>
      <c r="G58" s="137"/>
      <c r="H58" s="137"/>
      <c r="I58" s="137"/>
      <c r="J58" s="137"/>
      <c r="K58" s="137"/>
      <c r="L58" s="137"/>
      <c r="M58" s="137"/>
      <c r="N58" s="137"/>
      <c r="O58" s="137"/>
      <c r="P58" s="137"/>
    </row>
    <row r="59" spans="1:16" hidden="1">
      <c r="A59" s="137"/>
      <c r="B59" s="137"/>
      <c r="D59" s="137"/>
      <c r="E59" s="137"/>
      <c r="F59" s="137"/>
      <c r="G59" s="137"/>
      <c r="H59" s="137"/>
      <c r="I59" s="137"/>
      <c r="J59" s="137"/>
      <c r="K59" s="137"/>
      <c r="L59" s="137"/>
      <c r="M59" s="137"/>
      <c r="N59" s="137"/>
      <c r="O59" s="137"/>
      <c r="P59" s="137"/>
    </row>
    <row r="60" spans="1:16" hidden="1">
      <c r="A60" s="137"/>
      <c r="B60" s="137"/>
      <c r="D60" s="137"/>
      <c r="E60" s="137"/>
      <c r="F60" s="137"/>
      <c r="G60" s="137"/>
      <c r="H60" s="137"/>
      <c r="I60" s="137"/>
      <c r="J60" s="137"/>
      <c r="K60" s="137"/>
      <c r="L60" s="137"/>
      <c r="M60" s="137"/>
      <c r="N60" s="137"/>
      <c r="O60" s="137"/>
      <c r="P60" s="137"/>
    </row>
    <row r="61" spans="1:16" hidden="1">
      <c r="A61" s="137"/>
      <c r="B61" s="137"/>
      <c r="D61" s="137"/>
      <c r="E61" s="137"/>
      <c r="F61" s="137"/>
      <c r="G61" s="137"/>
      <c r="H61" s="137"/>
      <c r="I61" s="137"/>
      <c r="J61" s="137"/>
      <c r="K61" s="137"/>
      <c r="L61" s="137"/>
      <c r="M61" s="137"/>
      <c r="N61" s="137"/>
      <c r="O61" s="137"/>
      <c r="P61" s="137"/>
    </row>
    <row r="62" spans="1:16" hidden="1">
      <c r="A62" s="137"/>
      <c r="B62" s="137"/>
      <c r="D62" s="137"/>
      <c r="E62" s="137"/>
      <c r="F62" s="137"/>
      <c r="G62" s="137"/>
      <c r="H62" s="137"/>
      <c r="I62" s="137"/>
      <c r="J62" s="137"/>
      <c r="K62" s="137"/>
      <c r="L62" s="137"/>
      <c r="M62" s="137"/>
      <c r="N62" s="137"/>
      <c r="O62" s="137"/>
      <c r="P62" s="137"/>
    </row>
    <row r="63" spans="1:16" hidden="1">
      <c r="A63" s="137"/>
      <c r="B63" s="137"/>
      <c r="D63" s="137"/>
      <c r="E63" s="137"/>
      <c r="F63" s="137"/>
      <c r="G63" s="137"/>
      <c r="H63" s="137"/>
      <c r="I63" s="137"/>
      <c r="J63" s="137"/>
      <c r="K63" s="137"/>
      <c r="L63" s="137"/>
      <c r="M63" s="137"/>
      <c r="N63" s="137"/>
      <c r="O63" s="137"/>
      <c r="P63" s="137"/>
    </row>
    <row r="64" spans="1:16" hidden="1">
      <c r="A64" s="137"/>
      <c r="B64" s="137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37"/>
      <c r="P64" s="137"/>
    </row>
    <row r="65" spans="1:16" hidden="1">
      <c r="A65" s="137"/>
      <c r="B65" s="137"/>
      <c r="D65" s="137"/>
      <c r="E65" s="137"/>
      <c r="F65" s="137"/>
      <c r="G65" s="137"/>
      <c r="H65" s="137"/>
      <c r="I65" s="137"/>
      <c r="J65" s="137"/>
      <c r="K65" s="137"/>
      <c r="L65" s="137"/>
      <c r="M65" s="137"/>
      <c r="N65" s="137"/>
      <c r="O65" s="137"/>
      <c r="P65" s="137"/>
    </row>
    <row r="66" spans="1:16" hidden="1">
      <c r="A66" s="137"/>
      <c r="B66" s="137"/>
      <c r="D66" s="137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</row>
    <row r="67" spans="1:16" hidden="1">
      <c r="A67" s="137"/>
      <c r="B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</row>
    <row r="68" spans="1:16" hidden="1">
      <c r="A68" s="137"/>
      <c r="B68" s="137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</row>
    <row r="69" spans="1:16" hidden="1">
      <c r="A69" s="137"/>
      <c r="B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  <c r="O69" s="137"/>
      <c r="P69" s="137"/>
    </row>
    <row r="70" spans="1:16" hidden="1">
      <c r="A70" s="137"/>
      <c r="B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</row>
    <row r="71" spans="1:16" hidden="1">
      <c r="A71" s="137"/>
      <c r="B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</row>
    <row r="72" spans="1:16" hidden="1">
      <c r="A72" s="137"/>
      <c r="B72" s="137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</row>
    <row r="73" spans="1:16" hidden="1">
      <c r="A73" s="137"/>
      <c r="B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</row>
    <row r="74" spans="1:16" hidden="1">
      <c r="A74" s="137"/>
      <c r="B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7"/>
      <c r="O74" s="137"/>
      <c r="P74" s="137"/>
    </row>
    <row r="75" spans="1:16" hidden="1">
      <c r="A75" s="137"/>
      <c r="B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37"/>
      <c r="O75" s="137"/>
      <c r="P75" s="137"/>
    </row>
    <row r="76" spans="1:16" hidden="1">
      <c r="A76" s="137"/>
      <c r="B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</row>
    <row r="77" spans="1:16" hidden="1">
      <c r="A77" s="137"/>
      <c r="B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</row>
    <row r="78" spans="1:16" hidden="1">
      <c r="A78" s="137"/>
      <c r="B78" s="137"/>
      <c r="D78" s="137"/>
      <c r="E78" s="137"/>
      <c r="F78" s="137"/>
      <c r="G78" s="137"/>
      <c r="H78" s="137"/>
      <c r="I78" s="137"/>
      <c r="J78" s="137"/>
      <c r="K78" s="137"/>
      <c r="L78" s="137"/>
      <c r="M78" s="137"/>
      <c r="N78" s="137"/>
      <c r="O78" s="137"/>
      <c r="P78" s="137"/>
    </row>
    <row r="79" spans="1:16" hidden="1">
      <c r="A79" s="137"/>
      <c r="B79" s="137"/>
      <c r="D79" s="137"/>
      <c r="E79" s="137"/>
      <c r="F79" s="137"/>
      <c r="G79" s="137"/>
      <c r="H79" s="137"/>
      <c r="I79" s="137"/>
      <c r="J79" s="137"/>
      <c r="K79" s="137"/>
      <c r="L79" s="137"/>
      <c r="M79" s="137"/>
      <c r="N79" s="137"/>
      <c r="O79" s="137"/>
      <c r="P79" s="137"/>
    </row>
    <row r="80" spans="1:16" hidden="1">
      <c r="A80" s="137"/>
      <c r="B80" s="137"/>
      <c r="D80" s="137"/>
      <c r="E80" s="137"/>
      <c r="F80" s="137"/>
      <c r="G80" s="137"/>
      <c r="H80" s="137"/>
      <c r="I80" s="137"/>
      <c r="J80" s="137"/>
      <c r="K80" s="137"/>
      <c r="L80" s="137"/>
      <c r="M80" s="137"/>
      <c r="N80" s="137"/>
      <c r="O80" s="137"/>
      <c r="P80" s="137"/>
    </row>
    <row r="81" spans="1:16" hidden="1">
      <c r="A81" s="137"/>
      <c r="B81" s="137"/>
      <c r="D81" s="137"/>
      <c r="E81" s="137"/>
      <c r="F81" s="137"/>
      <c r="G81" s="137"/>
      <c r="H81" s="137"/>
      <c r="I81" s="137"/>
      <c r="J81" s="137"/>
      <c r="K81" s="137"/>
      <c r="L81" s="137"/>
      <c r="M81" s="137"/>
      <c r="N81" s="137"/>
      <c r="O81" s="137"/>
      <c r="P81" s="137"/>
    </row>
    <row r="82" spans="1:16" hidden="1">
      <c r="A82" s="137"/>
      <c r="B82" s="137"/>
      <c r="D82" s="137"/>
      <c r="E82" s="137"/>
      <c r="F82" s="137"/>
      <c r="G82" s="137"/>
      <c r="H82" s="137"/>
      <c r="I82" s="137"/>
      <c r="J82" s="137"/>
      <c r="K82" s="137"/>
      <c r="L82" s="137"/>
      <c r="M82" s="137"/>
      <c r="N82" s="137"/>
      <c r="O82" s="137"/>
      <c r="P82" s="137"/>
    </row>
    <row r="83" spans="1:16" hidden="1">
      <c r="A83" s="137"/>
      <c r="B83" s="137"/>
      <c r="D83" s="137"/>
      <c r="E83" s="137"/>
      <c r="F83" s="137"/>
      <c r="G83" s="137"/>
      <c r="H83" s="137"/>
      <c r="I83" s="137"/>
      <c r="J83" s="137"/>
      <c r="K83" s="137"/>
      <c r="L83" s="137"/>
      <c r="M83" s="137"/>
      <c r="N83" s="137"/>
      <c r="O83" s="137"/>
      <c r="P83" s="137"/>
    </row>
    <row r="84" spans="1:16" hidden="1">
      <c r="A84" s="137"/>
      <c r="B84" s="137"/>
      <c r="D84" s="137"/>
      <c r="E84" s="137"/>
      <c r="F84" s="137"/>
      <c r="G84" s="137"/>
      <c r="H84" s="137"/>
      <c r="I84" s="137"/>
      <c r="J84" s="137"/>
      <c r="K84" s="137"/>
      <c r="L84" s="137"/>
      <c r="M84" s="137"/>
      <c r="N84" s="137"/>
      <c r="O84" s="137"/>
      <c r="P84" s="137"/>
    </row>
    <row r="85" spans="1:16" hidden="1">
      <c r="A85" s="137"/>
      <c r="B85" s="137"/>
      <c r="D85" s="137"/>
      <c r="E85" s="137"/>
      <c r="F85" s="137"/>
      <c r="G85" s="137"/>
      <c r="H85" s="137"/>
      <c r="I85" s="137"/>
      <c r="J85" s="137"/>
      <c r="K85" s="137"/>
      <c r="L85" s="137"/>
      <c r="M85" s="137"/>
      <c r="N85" s="137"/>
      <c r="O85" s="137"/>
      <c r="P85" s="137"/>
    </row>
    <row r="86" spans="1:16" hidden="1">
      <c r="A86" s="137"/>
      <c r="B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</row>
    <row r="87" spans="1:16" hidden="1">
      <c r="A87" s="137"/>
      <c r="B87" s="137"/>
      <c r="D87" s="137"/>
      <c r="E87" s="137"/>
      <c r="F87" s="137"/>
      <c r="G87" s="137"/>
      <c r="H87" s="137"/>
      <c r="I87" s="137"/>
      <c r="J87" s="137"/>
      <c r="K87" s="137"/>
      <c r="L87" s="137"/>
      <c r="M87" s="137"/>
      <c r="N87" s="137"/>
      <c r="O87" s="137"/>
      <c r="P87" s="137"/>
    </row>
    <row r="88" spans="1:16" hidden="1">
      <c r="A88" s="137"/>
      <c r="B88" s="137"/>
      <c r="D88" s="137"/>
      <c r="E88" s="137"/>
      <c r="F88" s="137"/>
      <c r="G88" s="137"/>
      <c r="H88" s="137"/>
      <c r="I88" s="137"/>
      <c r="J88" s="137"/>
      <c r="K88" s="137"/>
      <c r="L88" s="137"/>
      <c r="M88" s="137"/>
      <c r="N88" s="137"/>
      <c r="O88" s="137"/>
      <c r="P88" s="137"/>
    </row>
    <row r="89" spans="1:16" hidden="1">
      <c r="A89" s="137"/>
      <c r="B89" s="137"/>
      <c r="D89" s="137"/>
      <c r="E89" s="137"/>
      <c r="F89" s="137"/>
      <c r="G89" s="137"/>
      <c r="H89" s="137"/>
      <c r="I89" s="137"/>
      <c r="J89" s="137"/>
      <c r="K89" s="137"/>
      <c r="L89" s="137"/>
      <c r="M89" s="137"/>
      <c r="N89" s="137"/>
      <c r="O89" s="137"/>
      <c r="P89" s="137"/>
    </row>
    <row r="90" spans="1:16" hidden="1">
      <c r="A90" s="137"/>
      <c r="B90" s="137"/>
      <c r="D90" s="137"/>
      <c r="E90" s="137"/>
      <c r="F90" s="137"/>
      <c r="G90" s="137"/>
      <c r="H90" s="137"/>
      <c r="I90" s="137"/>
      <c r="J90" s="137"/>
      <c r="K90" s="137"/>
      <c r="L90" s="137"/>
      <c r="M90" s="137"/>
      <c r="N90" s="137"/>
      <c r="O90" s="137"/>
      <c r="P90" s="137"/>
    </row>
    <row r="91" spans="1:16" hidden="1">
      <c r="A91" s="137"/>
      <c r="B91" s="137"/>
      <c r="D91" s="137"/>
      <c r="E91" s="137"/>
      <c r="F91" s="137"/>
      <c r="G91" s="137"/>
      <c r="H91" s="137"/>
      <c r="I91" s="137"/>
      <c r="J91" s="137"/>
      <c r="K91" s="137"/>
      <c r="L91" s="137"/>
      <c r="M91" s="137"/>
      <c r="N91" s="137"/>
      <c r="O91" s="137"/>
      <c r="P91" s="137"/>
    </row>
    <row r="92" spans="1:16" hidden="1">
      <c r="A92" s="137"/>
      <c r="B92" s="137"/>
      <c r="D92" s="137"/>
      <c r="E92" s="137"/>
      <c r="F92" s="137"/>
      <c r="G92" s="137"/>
      <c r="H92" s="137"/>
      <c r="I92" s="137"/>
      <c r="J92" s="137"/>
      <c r="K92" s="137"/>
      <c r="L92" s="137"/>
      <c r="M92" s="137"/>
      <c r="N92" s="137"/>
      <c r="O92" s="137"/>
      <c r="P92" s="137"/>
    </row>
    <row r="93" spans="1:16" hidden="1">
      <c r="A93" s="137"/>
      <c r="B93" s="137"/>
      <c r="D93" s="137"/>
      <c r="E93" s="137"/>
      <c r="F93" s="137"/>
      <c r="G93" s="137"/>
      <c r="H93" s="137"/>
      <c r="I93" s="137"/>
      <c r="J93" s="137"/>
      <c r="K93" s="137"/>
      <c r="L93" s="137"/>
      <c r="M93" s="137"/>
      <c r="N93" s="137"/>
      <c r="O93" s="137"/>
      <c r="P93" s="137"/>
    </row>
    <row r="94" spans="1:16" hidden="1">
      <c r="A94" s="137"/>
      <c r="B94" s="137"/>
      <c r="D94" s="137"/>
      <c r="E94" s="137"/>
      <c r="F94" s="137"/>
      <c r="G94" s="137"/>
      <c r="H94" s="137"/>
      <c r="I94" s="137"/>
      <c r="J94" s="137"/>
      <c r="K94" s="137"/>
      <c r="L94" s="137"/>
      <c r="M94" s="137"/>
      <c r="N94" s="137"/>
      <c r="O94" s="137"/>
      <c r="P94" s="137"/>
    </row>
    <row r="95" spans="1:16" hidden="1">
      <c r="A95" s="137"/>
      <c r="B95" s="137"/>
      <c r="D95" s="137"/>
      <c r="E95" s="137"/>
      <c r="F95" s="137"/>
      <c r="G95" s="137"/>
      <c r="H95" s="137"/>
      <c r="I95" s="137"/>
      <c r="J95" s="137"/>
      <c r="K95" s="137"/>
      <c r="L95" s="137"/>
      <c r="M95" s="137"/>
      <c r="N95" s="137"/>
      <c r="O95" s="137"/>
      <c r="P95" s="137"/>
    </row>
    <row r="96" spans="1:16" hidden="1">
      <c r="A96" s="137"/>
      <c r="B96" s="137"/>
      <c r="D96" s="137"/>
      <c r="E96" s="137"/>
      <c r="F96" s="137"/>
      <c r="G96" s="137"/>
      <c r="H96" s="137"/>
      <c r="I96" s="137"/>
      <c r="J96" s="137"/>
      <c r="K96" s="137"/>
      <c r="L96" s="137"/>
      <c r="M96" s="137"/>
      <c r="N96" s="137"/>
      <c r="O96" s="137"/>
      <c r="P96" s="137"/>
    </row>
    <row r="97" spans="1:16" hidden="1">
      <c r="A97" s="137"/>
      <c r="B97" s="137"/>
      <c r="D97" s="137"/>
      <c r="E97" s="137"/>
      <c r="F97" s="137"/>
      <c r="G97" s="137"/>
      <c r="H97" s="137"/>
      <c r="I97" s="137"/>
      <c r="J97" s="137"/>
      <c r="K97" s="137"/>
      <c r="L97" s="137"/>
      <c r="M97" s="137"/>
      <c r="N97" s="137"/>
      <c r="O97" s="137"/>
      <c r="P97" s="137"/>
    </row>
    <row r="98" spans="1:16" hidden="1">
      <c r="A98" s="137"/>
      <c r="B98" s="137"/>
      <c r="D98" s="137"/>
      <c r="E98" s="137"/>
      <c r="F98" s="137"/>
      <c r="G98" s="137"/>
      <c r="H98" s="137"/>
      <c r="I98" s="137"/>
      <c r="J98" s="137"/>
      <c r="K98" s="137"/>
      <c r="L98" s="137"/>
      <c r="M98" s="137"/>
      <c r="N98" s="137"/>
      <c r="O98" s="137"/>
      <c r="P98" s="137"/>
    </row>
    <row r="99" spans="1:16" hidden="1">
      <c r="A99" s="137"/>
      <c r="B99" s="137"/>
      <c r="D99" s="137"/>
      <c r="E99" s="137"/>
      <c r="F99" s="137"/>
      <c r="G99" s="137"/>
      <c r="H99" s="137"/>
      <c r="I99" s="137"/>
      <c r="J99" s="137"/>
      <c r="K99" s="137"/>
      <c r="L99" s="137"/>
      <c r="M99" s="137"/>
      <c r="N99" s="137"/>
      <c r="O99" s="137"/>
      <c r="P99" s="137"/>
    </row>
    <row r="100" spans="1:16" hidden="1">
      <c r="A100" s="137"/>
      <c r="B100" s="137"/>
      <c r="D100" s="137"/>
      <c r="E100" s="137"/>
      <c r="F100" s="137"/>
      <c r="G100" s="137"/>
      <c r="H100" s="137"/>
      <c r="I100" s="137"/>
      <c r="J100" s="137"/>
      <c r="K100" s="137"/>
      <c r="L100" s="137"/>
      <c r="M100" s="137"/>
      <c r="N100" s="137"/>
      <c r="O100" s="137"/>
      <c r="P100" s="137"/>
    </row>
    <row r="101" spans="1:16" hidden="1">
      <c r="A101" s="137"/>
      <c r="B101" s="137"/>
      <c r="D101" s="137"/>
      <c r="E101" s="137"/>
      <c r="F101" s="137"/>
      <c r="G101" s="137"/>
      <c r="H101" s="137"/>
      <c r="I101" s="137"/>
      <c r="J101" s="137"/>
      <c r="K101" s="137"/>
      <c r="L101" s="137"/>
      <c r="M101" s="137"/>
      <c r="N101" s="137"/>
      <c r="O101" s="137"/>
      <c r="P101" s="137"/>
    </row>
    <row r="102" spans="1:16" hidden="1">
      <c r="A102" s="137"/>
      <c r="B102" s="137"/>
      <c r="D102" s="137"/>
      <c r="E102" s="137"/>
      <c r="F102" s="137"/>
      <c r="G102" s="137"/>
      <c r="H102" s="137"/>
      <c r="I102" s="137"/>
      <c r="J102" s="137"/>
      <c r="K102" s="137"/>
      <c r="L102" s="137"/>
      <c r="M102" s="137"/>
      <c r="N102" s="137"/>
      <c r="O102" s="137"/>
      <c r="P102" s="137"/>
    </row>
    <row r="103" spans="1:16" hidden="1">
      <c r="A103" s="137"/>
      <c r="B103" s="137"/>
      <c r="D103" s="137"/>
      <c r="E103" s="137"/>
      <c r="F103" s="137"/>
      <c r="G103" s="137"/>
      <c r="H103" s="137"/>
      <c r="I103" s="137"/>
      <c r="J103" s="137"/>
      <c r="K103" s="137"/>
      <c r="L103" s="137"/>
      <c r="M103" s="137"/>
      <c r="N103" s="137"/>
      <c r="O103" s="137"/>
      <c r="P103" s="137"/>
    </row>
    <row r="104" spans="1:16" hidden="1">
      <c r="A104" s="137"/>
      <c r="B104" s="137"/>
      <c r="D104" s="137"/>
      <c r="E104" s="137"/>
      <c r="F104" s="137"/>
      <c r="G104" s="137"/>
      <c r="H104" s="137"/>
      <c r="I104" s="137"/>
      <c r="J104" s="137"/>
      <c r="K104" s="137"/>
      <c r="L104" s="137"/>
      <c r="M104" s="137"/>
      <c r="N104" s="137"/>
      <c r="O104" s="137"/>
      <c r="P104" s="137"/>
    </row>
    <row r="105" spans="1:16" hidden="1">
      <c r="A105" s="137"/>
      <c r="B105" s="137"/>
      <c r="D105" s="137"/>
      <c r="E105" s="137"/>
      <c r="F105" s="137"/>
      <c r="G105" s="137"/>
      <c r="H105" s="137"/>
      <c r="I105" s="137"/>
      <c r="J105" s="137"/>
      <c r="K105" s="137"/>
      <c r="L105" s="137"/>
      <c r="M105" s="137"/>
      <c r="N105" s="137"/>
      <c r="O105" s="137"/>
      <c r="P105" s="137"/>
    </row>
    <row r="106" spans="1:16" hidden="1">
      <c r="A106" s="137"/>
      <c r="B106" s="137"/>
      <c r="D106" s="137"/>
      <c r="E106" s="137"/>
      <c r="F106" s="137"/>
      <c r="G106" s="137"/>
      <c r="H106" s="137"/>
      <c r="I106" s="137"/>
      <c r="J106" s="137"/>
      <c r="K106" s="137"/>
      <c r="L106" s="137"/>
      <c r="M106" s="137"/>
      <c r="N106" s="137"/>
      <c r="O106" s="137"/>
      <c r="P106" s="137"/>
    </row>
    <row r="107" spans="1:16" hidden="1">
      <c r="A107" s="137"/>
      <c r="B107" s="137"/>
      <c r="D107" s="137"/>
      <c r="E107" s="137"/>
      <c r="F107" s="137"/>
      <c r="G107" s="137"/>
      <c r="H107" s="137"/>
      <c r="I107" s="137"/>
      <c r="J107" s="137"/>
      <c r="K107" s="137"/>
      <c r="L107" s="137"/>
      <c r="M107" s="137"/>
      <c r="N107" s="137"/>
      <c r="O107" s="137"/>
      <c r="P107" s="137"/>
    </row>
    <row r="108" spans="1:16" hidden="1">
      <c r="A108" s="137"/>
      <c r="B108" s="137"/>
      <c r="D108" s="137"/>
      <c r="E108" s="137"/>
      <c r="F108" s="137"/>
      <c r="G108" s="137"/>
      <c r="H108" s="137"/>
      <c r="I108" s="137"/>
      <c r="J108" s="137"/>
      <c r="K108" s="137"/>
      <c r="L108" s="137"/>
      <c r="M108" s="137"/>
      <c r="N108" s="137"/>
      <c r="O108" s="137"/>
      <c r="P108" s="137"/>
    </row>
    <row r="109" spans="1:16" hidden="1">
      <c r="A109" s="137"/>
      <c r="B109" s="137"/>
      <c r="D109" s="137"/>
      <c r="E109" s="137"/>
      <c r="F109" s="137"/>
      <c r="G109" s="137"/>
      <c r="H109" s="137"/>
      <c r="I109" s="137"/>
      <c r="J109" s="137"/>
      <c r="K109" s="137"/>
      <c r="L109" s="137"/>
      <c r="M109" s="137"/>
      <c r="N109" s="137"/>
      <c r="O109" s="137"/>
      <c r="P109" s="137"/>
    </row>
    <row r="110" spans="1:16" hidden="1">
      <c r="A110" s="137"/>
      <c r="B110" s="137"/>
      <c r="D110" s="137"/>
      <c r="E110" s="137"/>
      <c r="F110" s="137"/>
      <c r="G110" s="137"/>
      <c r="H110" s="137"/>
      <c r="I110" s="137"/>
      <c r="J110" s="137"/>
      <c r="K110" s="137"/>
      <c r="L110" s="137"/>
      <c r="M110" s="137"/>
      <c r="N110" s="137"/>
      <c r="O110" s="137"/>
      <c r="P110" s="137"/>
    </row>
    <row r="111" spans="1:16" hidden="1">
      <c r="A111" s="137"/>
      <c r="B111" s="137"/>
      <c r="D111" s="137"/>
      <c r="E111" s="137"/>
      <c r="F111" s="137"/>
      <c r="G111" s="137"/>
      <c r="H111" s="137"/>
      <c r="I111" s="137"/>
      <c r="J111" s="137"/>
      <c r="K111" s="137"/>
      <c r="L111" s="137"/>
      <c r="M111" s="137"/>
      <c r="N111" s="137"/>
      <c r="O111" s="137"/>
      <c r="P111" s="137"/>
    </row>
    <row r="112" spans="1:16" hidden="1">
      <c r="A112" s="137"/>
      <c r="B112" s="137"/>
      <c r="D112" s="137"/>
      <c r="E112" s="137"/>
      <c r="F112" s="137"/>
      <c r="G112" s="137"/>
      <c r="H112" s="137"/>
      <c r="I112" s="137"/>
      <c r="J112" s="137"/>
      <c r="K112" s="137"/>
      <c r="L112" s="137"/>
      <c r="M112" s="137"/>
      <c r="N112" s="137"/>
      <c r="O112" s="137"/>
      <c r="P112" s="137"/>
    </row>
    <row r="113" spans="1:16" hidden="1">
      <c r="A113" s="137"/>
      <c r="B113" s="137"/>
      <c r="D113" s="137"/>
      <c r="E113" s="137"/>
      <c r="F113" s="137"/>
      <c r="G113" s="137"/>
      <c r="H113" s="137"/>
      <c r="I113" s="137"/>
      <c r="J113" s="137"/>
      <c r="K113" s="137"/>
      <c r="L113" s="137"/>
      <c r="M113" s="137"/>
      <c r="N113" s="137"/>
      <c r="O113" s="137"/>
      <c r="P113" s="137"/>
    </row>
    <row r="114" spans="1:16" hidden="1">
      <c r="A114" s="137"/>
      <c r="B114" s="137"/>
      <c r="D114" s="137"/>
      <c r="E114" s="137"/>
      <c r="F114" s="137"/>
      <c r="G114" s="137"/>
      <c r="H114" s="137"/>
      <c r="I114" s="137"/>
      <c r="J114" s="137"/>
      <c r="K114" s="137"/>
      <c r="L114" s="137"/>
      <c r="M114" s="137"/>
      <c r="N114" s="137"/>
      <c r="O114" s="137"/>
      <c r="P114" s="137"/>
    </row>
    <row r="115" spans="1:16" hidden="1">
      <c r="A115" s="137"/>
      <c r="B115" s="137"/>
      <c r="D115" s="137"/>
      <c r="E115" s="137"/>
      <c r="F115" s="137"/>
      <c r="G115" s="137"/>
      <c r="H115" s="137"/>
      <c r="I115" s="137"/>
      <c r="J115" s="137"/>
      <c r="K115" s="137"/>
      <c r="L115" s="137"/>
      <c r="M115" s="137"/>
      <c r="N115" s="137"/>
      <c r="O115" s="137"/>
      <c r="P115" s="137"/>
    </row>
    <row r="116" spans="1:16" hidden="1">
      <c r="A116" s="137"/>
      <c r="B116" s="137"/>
      <c r="D116" s="137"/>
      <c r="E116" s="137"/>
      <c r="F116" s="137"/>
      <c r="G116" s="137"/>
      <c r="H116" s="137"/>
      <c r="I116" s="137"/>
      <c r="J116" s="137"/>
      <c r="K116" s="137"/>
      <c r="L116" s="137"/>
      <c r="M116" s="137"/>
      <c r="N116" s="137"/>
      <c r="O116" s="137"/>
      <c r="P116" s="137"/>
    </row>
    <row r="117" spans="1:16" hidden="1">
      <c r="A117" s="137"/>
      <c r="B117" s="137"/>
      <c r="D117" s="137"/>
      <c r="E117" s="137"/>
      <c r="F117" s="137"/>
      <c r="G117" s="137"/>
      <c r="H117" s="137"/>
      <c r="I117" s="137"/>
      <c r="J117" s="137"/>
      <c r="K117" s="137"/>
      <c r="L117" s="137"/>
      <c r="M117" s="137"/>
      <c r="N117" s="137"/>
      <c r="O117" s="137"/>
      <c r="P117" s="137"/>
    </row>
    <row r="118" spans="1:16" hidden="1">
      <c r="A118" s="137"/>
      <c r="B118" s="137"/>
      <c r="D118" s="137"/>
      <c r="E118" s="137"/>
      <c r="F118" s="137"/>
      <c r="G118" s="137"/>
      <c r="H118" s="137"/>
      <c r="I118" s="137"/>
      <c r="J118" s="137"/>
      <c r="K118" s="137"/>
      <c r="L118" s="137"/>
      <c r="M118" s="137"/>
      <c r="N118" s="137"/>
      <c r="O118" s="137"/>
      <c r="P118" s="137"/>
    </row>
    <row r="119" spans="1:16" hidden="1">
      <c r="A119" s="137"/>
      <c r="B119" s="137"/>
      <c r="D119" s="137"/>
      <c r="E119" s="137"/>
      <c r="F119" s="137"/>
      <c r="G119" s="137"/>
      <c r="H119" s="137"/>
      <c r="I119" s="137"/>
      <c r="J119" s="137"/>
      <c r="K119" s="137"/>
      <c r="L119" s="137"/>
      <c r="M119" s="137"/>
      <c r="N119" s="137"/>
      <c r="O119" s="137"/>
      <c r="P119" s="137"/>
    </row>
    <row r="120" spans="1:16" hidden="1">
      <c r="A120" s="137"/>
      <c r="B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</row>
    <row r="121" spans="1:16" hidden="1">
      <c r="A121" s="137"/>
      <c r="B121" s="137"/>
      <c r="D121" s="137"/>
      <c r="E121" s="137"/>
      <c r="F121" s="137"/>
      <c r="G121" s="137"/>
      <c r="H121" s="137"/>
      <c r="I121" s="137"/>
      <c r="J121" s="137"/>
      <c r="K121" s="137"/>
      <c r="L121" s="137"/>
      <c r="M121" s="137"/>
      <c r="N121" s="137"/>
      <c r="O121" s="137"/>
      <c r="P121" s="137"/>
    </row>
    <row r="122" spans="1:16" hidden="1">
      <c r="A122" s="137"/>
      <c r="B122" s="137"/>
      <c r="D122" s="137"/>
      <c r="E122" s="137"/>
      <c r="F122" s="137"/>
      <c r="G122" s="137"/>
      <c r="H122" s="137"/>
      <c r="I122" s="137"/>
      <c r="J122" s="137"/>
      <c r="K122" s="137"/>
      <c r="L122" s="137"/>
      <c r="M122" s="137"/>
      <c r="N122" s="137"/>
      <c r="O122" s="137"/>
      <c r="P122" s="137"/>
    </row>
    <row r="123" spans="1:16" hidden="1">
      <c r="A123" s="137"/>
      <c r="B123" s="137"/>
      <c r="D123" s="137"/>
      <c r="E123" s="137"/>
      <c r="F123" s="137"/>
      <c r="G123" s="137"/>
      <c r="H123" s="137"/>
      <c r="I123" s="137"/>
      <c r="J123" s="137"/>
      <c r="K123" s="137"/>
      <c r="L123" s="137"/>
      <c r="M123" s="137"/>
      <c r="N123" s="137"/>
      <c r="O123" s="137"/>
      <c r="P123" s="137"/>
    </row>
    <row r="124" spans="1:16" hidden="1">
      <c r="A124" s="137"/>
      <c r="B124" s="137"/>
      <c r="D124" s="137"/>
      <c r="E124" s="137"/>
      <c r="F124" s="137"/>
      <c r="G124" s="137"/>
      <c r="H124" s="137"/>
      <c r="I124" s="137"/>
      <c r="J124" s="137"/>
      <c r="K124" s="137"/>
      <c r="L124" s="137"/>
      <c r="M124" s="137"/>
      <c r="N124" s="137"/>
      <c r="O124" s="137"/>
      <c r="P124" s="137"/>
    </row>
    <row r="125" spans="1:16" hidden="1">
      <c r="A125" s="137"/>
      <c r="B125" s="137"/>
      <c r="D125" s="137"/>
      <c r="E125" s="137"/>
      <c r="F125" s="137"/>
      <c r="G125" s="137"/>
      <c r="H125" s="137"/>
      <c r="I125" s="137"/>
      <c r="J125" s="137"/>
      <c r="K125" s="137"/>
      <c r="L125" s="137"/>
      <c r="M125" s="137"/>
      <c r="N125" s="137"/>
      <c r="O125" s="137"/>
      <c r="P125" s="137"/>
    </row>
    <row r="126" spans="1:16" hidden="1">
      <c r="A126" s="137"/>
      <c r="B126" s="137"/>
      <c r="D126" s="137"/>
      <c r="E126" s="137"/>
      <c r="F126" s="137"/>
      <c r="G126" s="137"/>
      <c r="H126" s="137"/>
      <c r="I126" s="137"/>
      <c r="J126" s="137"/>
      <c r="K126" s="137"/>
      <c r="L126" s="137"/>
      <c r="M126" s="137"/>
      <c r="N126" s="137"/>
      <c r="O126" s="137"/>
      <c r="P126" s="137"/>
    </row>
    <row r="127" spans="1:16" hidden="1">
      <c r="A127" s="137"/>
      <c r="B127" s="137"/>
      <c r="D127" s="137"/>
      <c r="E127" s="137"/>
      <c r="F127" s="137"/>
      <c r="G127" s="137"/>
      <c r="H127" s="137"/>
      <c r="I127" s="137"/>
      <c r="J127" s="137"/>
      <c r="K127" s="137"/>
      <c r="L127" s="137"/>
      <c r="M127" s="137"/>
      <c r="N127" s="137"/>
      <c r="O127" s="137"/>
      <c r="P127" s="137"/>
    </row>
    <row r="128" spans="1:16" hidden="1">
      <c r="A128" s="137"/>
      <c r="B128" s="137"/>
      <c r="D128" s="137"/>
      <c r="E128" s="137"/>
      <c r="F128" s="137"/>
      <c r="G128" s="137"/>
      <c r="H128" s="137"/>
      <c r="I128" s="137"/>
      <c r="J128" s="137"/>
      <c r="K128" s="137"/>
      <c r="L128" s="137"/>
      <c r="M128" s="137"/>
      <c r="N128" s="137"/>
      <c r="O128" s="137"/>
      <c r="P128" s="137"/>
    </row>
    <row r="129" spans="1:16" hidden="1">
      <c r="A129" s="137"/>
      <c r="B129" s="137"/>
      <c r="D129" s="137"/>
      <c r="E129" s="137"/>
      <c r="F129" s="137"/>
      <c r="G129" s="137"/>
      <c r="H129" s="137"/>
      <c r="I129" s="137"/>
      <c r="J129" s="137"/>
      <c r="K129" s="137"/>
      <c r="L129" s="137"/>
      <c r="M129" s="137"/>
      <c r="N129" s="137"/>
      <c r="O129" s="137"/>
      <c r="P129" s="137"/>
    </row>
    <row r="130" spans="1:16" hidden="1">
      <c r="A130" s="137"/>
      <c r="B130" s="137"/>
      <c r="D130" s="137"/>
      <c r="E130" s="137"/>
      <c r="F130" s="137"/>
      <c r="G130" s="137"/>
      <c r="H130" s="137"/>
      <c r="I130" s="137"/>
      <c r="J130" s="137"/>
      <c r="K130" s="137"/>
      <c r="L130" s="137"/>
      <c r="M130" s="137"/>
      <c r="N130" s="137"/>
      <c r="O130" s="137"/>
      <c r="P130" s="137"/>
    </row>
    <row r="131" spans="1:16" hidden="1">
      <c r="A131" s="137"/>
      <c r="B131" s="137"/>
      <c r="D131" s="137"/>
      <c r="E131" s="137"/>
      <c r="F131" s="137"/>
      <c r="G131" s="137"/>
      <c r="H131" s="137"/>
      <c r="I131" s="137"/>
      <c r="J131" s="137"/>
      <c r="K131" s="137"/>
      <c r="L131" s="137"/>
      <c r="M131" s="137"/>
      <c r="N131" s="137"/>
      <c r="O131" s="137"/>
      <c r="P131" s="137"/>
    </row>
    <row r="132" spans="1:16" hidden="1">
      <c r="A132" s="137"/>
      <c r="B132" s="137"/>
      <c r="D132" s="137"/>
      <c r="E132" s="137"/>
      <c r="F132" s="137"/>
      <c r="G132" s="137"/>
      <c r="H132" s="137"/>
      <c r="I132" s="137"/>
      <c r="J132" s="137"/>
      <c r="K132" s="137"/>
      <c r="L132" s="137"/>
      <c r="M132" s="137"/>
      <c r="N132" s="137"/>
      <c r="O132" s="137"/>
      <c r="P132" s="137"/>
    </row>
    <row r="133" spans="1:16" hidden="1">
      <c r="A133" s="137"/>
      <c r="B133" s="137"/>
      <c r="D133" s="137"/>
      <c r="E133" s="137"/>
      <c r="F133" s="137"/>
      <c r="G133" s="137"/>
      <c r="H133" s="137"/>
      <c r="I133" s="137"/>
      <c r="J133" s="137"/>
      <c r="K133" s="137"/>
      <c r="L133" s="137"/>
      <c r="M133" s="137"/>
      <c r="N133" s="137"/>
      <c r="O133" s="137"/>
      <c r="P133" s="137"/>
    </row>
    <row r="134" spans="1:16" hidden="1">
      <c r="A134" s="137"/>
      <c r="B134" s="137"/>
      <c r="D134" s="137"/>
      <c r="E134" s="137"/>
      <c r="F134" s="137"/>
      <c r="G134" s="137"/>
      <c r="H134" s="137"/>
      <c r="I134" s="137"/>
      <c r="J134" s="137"/>
      <c r="K134" s="137"/>
      <c r="L134" s="137"/>
      <c r="M134" s="137"/>
      <c r="N134" s="137"/>
      <c r="O134" s="137"/>
      <c r="P134" s="137"/>
    </row>
    <row r="135" spans="1:16" hidden="1">
      <c r="A135" s="137"/>
      <c r="B135" s="137"/>
      <c r="D135" s="137"/>
      <c r="E135" s="137"/>
      <c r="F135" s="137"/>
      <c r="G135" s="137"/>
      <c r="H135" s="137"/>
      <c r="I135" s="137"/>
      <c r="J135" s="137"/>
      <c r="K135" s="137"/>
      <c r="L135" s="137"/>
      <c r="M135" s="137"/>
      <c r="N135" s="137"/>
      <c r="O135" s="137"/>
      <c r="P135" s="137"/>
    </row>
    <row r="136" spans="1:16" hidden="1">
      <c r="A136" s="137"/>
      <c r="B136" s="137"/>
      <c r="D136" s="137"/>
      <c r="E136" s="137"/>
      <c r="F136" s="137"/>
      <c r="G136" s="137"/>
      <c r="H136" s="137"/>
      <c r="I136" s="137"/>
      <c r="J136" s="137"/>
      <c r="K136" s="137"/>
      <c r="L136" s="137"/>
      <c r="M136" s="137"/>
      <c r="N136" s="137"/>
      <c r="O136" s="137"/>
      <c r="P136" s="137"/>
    </row>
    <row r="137" spans="1:16" hidden="1">
      <c r="A137" s="137"/>
      <c r="B137" s="137"/>
      <c r="D137" s="137"/>
      <c r="E137" s="137"/>
      <c r="F137" s="137"/>
      <c r="G137" s="137"/>
      <c r="H137" s="137"/>
      <c r="I137" s="137"/>
      <c r="J137" s="137"/>
      <c r="K137" s="137"/>
      <c r="L137" s="137"/>
      <c r="M137" s="137"/>
      <c r="N137" s="137"/>
      <c r="O137" s="137"/>
      <c r="P137" s="137"/>
    </row>
    <row r="138" spans="1:16" hidden="1">
      <c r="A138" s="137"/>
      <c r="B138" s="137"/>
      <c r="D138" s="137"/>
      <c r="E138" s="137"/>
      <c r="F138" s="137"/>
      <c r="G138" s="137"/>
      <c r="H138" s="137"/>
      <c r="I138" s="137"/>
      <c r="J138" s="137"/>
      <c r="K138" s="137"/>
      <c r="L138" s="137"/>
      <c r="M138" s="137"/>
      <c r="N138" s="137"/>
      <c r="O138" s="137"/>
      <c r="P138" s="137"/>
    </row>
    <row r="139" spans="1:16" hidden="1">
      <c r="A139" s="137"/>
      <c r="B139" s="137"/>
      <c r="D139" s="137"/>
      <c r="E139" s="137"/>
      <c r="F139" s="137"/>
      <c r="G139" s="137"/>
      <c r="H139" s="137"/>
      <c r="I139" s="137"/>
      <c r="J139" s="137"/>
      <c r="K139" s="137"/>
      <c r="L139" s="137"/>
      <c r="M139" s="137"/>
      <c r="N139" s="137"/>
      <c r="O139" s="137"/>
      <c r="P139" s="137"/>
    </row>
    <row r="140" spans="1:16" hidden="1">
      <c r="A140" s="137"/>
      <c r="B140" s="137"/>
      <c r="D140" s="137"/>
      <c r="E140" s="137"/>
      <c r="F140" s="137"/>
      <c r="G140" s="137"/>
      <c r="H140" s="137"/>
      <c r="I140" s="137"/>
      <c r="J140" s="137"/>
      <c r="K140" s="137"/>
      <c r="L140" s="137"/>
      <c r="M140" s="137"/>
      <c r="N140" s="137"/>
      <c r="O140" s="137"/>
      <c r="P140" s="137"/>
    </row>
    <row r="141" spans="1:16" hidden="1">
      <c r="A141" s="137"/>
      <c r="B141" s="137"/>
      <c r="D141" s="137"/>
      <c r="E141" s="137"/>
      <c r="F141" s="137"/>
      <c r="G141" s="137"/>
      <c r="H141" s="137"/>
      <c r="I141" s="137"/>
      <c r="J141" s="137"/>
      <c r="K141" s="137"/>
      <c r="L141" s="137"/>
      <c r="M141" s="137"/>
      <c r="N141" s="137"/>
      <c r="O141" s="137"/>
      <c r="P141" s="137"/>
    </row>
    <row r="142" spans="1:16" hidden="1">
      <c r="A142" s="137"/>
      <c r="B142" s="137"/>
      <c r="D142" s="137"/>
      <c r="E142" s="137"/>
      <c r="F142" s="137"/>
      <c r="G142" s="137"/>
      <c r="H142" s="137"/>
      <c r="I142" s="137"/>
      <c r="J142" s="137"/>
      <c r="K142" s="137"/>
      <c r="L142" s="137"/>
      <c r="M142" s="137"/>
      <c r="N142" s="137"/>
      <c r="O142" s="137"/>
      <c r="P142" s="137"/>
    </row>
    <row r="143" spans="1:16" hidden="1">
      <c r="A143" s="137"/>
      <c r="B143" s="137"/>
      <c r="D143" s="137"/>
      <c r="E143" s="137"/>
      <c r="F143" s="137"/>
      <c r="G143" s="137"/>
      <c r="H143" s="137"/>
      <c r="I143" s="137"/>
      <c r="J143" s="137"/>
      <c r="K143" s="137"/>
      <c r="L143" s="137"/>
      <c r="M143" s="137"/>
      <c r="N143" s="137"/>
      <c r="O143" s="137"/>
      <c r="P143" s="137"/>
    </row>
    <row r="144" spans="1:16" hidden="1">
      <c r="A144" s="137"/>
      <c r="B144" s="137"/>
      <c r="D144" s="137"/>
      <c r="E144" s="137"/>
      <c r="F144" s="137"/>
      <c r="G144" s="137"/>
      <c r="H144" s="137"/>
      <c r="I144" s="137"/>
      <c r="J144" s="137"/>
      <c r="K144" s="137"/>
      <c r="L144" s="137"/>
      <c r="M144" s="137"/>
      <c r="N144" s="137"/>
      <c r="O144" s="137"/>
      <c r="P144" s="137"/>
    </row>
    <row r="145" spans="1:16" hidden="1">
      <c r="A145" s="137"/>
      <c r="B145" s="137"/>
      <c r="D145" s="137"/>
      <c r="E145" s="137"/>
      <c r="F145" s="137"/>
      <c r="G145" s="137"/>
      <c r="H145" s="137"/>
      <c r="I145" s="137"/>
      <c r="J145" s="137"/>
      <c r="K145" s="137"/>
      <c r="L145" s="137"/>
      <c r="M145" s="137"/>
      <c r="N145" s="137"/>
      <c r="O145" s="137"/>
      <c r="P145" s="137"/>
    </row>
    <row r="146" spans="1:16" hidden="1">
      <c r="A146" s="137"/>
      <c r="B146" s="137"/>
      <c r="D146" s="137"/>
      <c r="E146" s="137"/>
      <c r="F146" s="137"/>
      <c r="G146" s="137"/>
      <c r="H146" s="137"/>
      <c r="I146" s="137"/>
      <c r="J146" s="137"/>
      <c r="K146" s="137"/>
      <c r="L146" s="137"/>
      <c r="M146" s="137"/>
      <c r="N146" s="137"/>
      <c r="O146" s="137"/>
      <c r="P146" s="137"/>
    </row>
    <row r="147" spans="1:16" hidden="1">
      <c r="A147" s="137"/>
      <c r="B147" s="137"/>
      <c r="D147" s="137"/>
      <c r="E147" s="137"/>
      <c r="F147" s="137"/>
      <c r="G147" s="137"/>
      <c r="H147" s="137"/>
      <c r="I147" s="137"/>
      <c r="J147" s="137"/>
      <c r="K147" s="137"/>
      <c r="L147" s="137"/>
      <c r="M147" s="137"/>
      <c r="N147" s="137"/>
      <c r="O147" s="137"/>
      <c r="P147" s="137"/>
    </row>
    <row r="148" spans="1:16" hidden="1">
      <c r="A148" s="137"/>
      <c r="B148" s="137"/>
      <c r="D148" s="137"/>
      <c r="E148" s="137"/>
      <c r="F148" s="137"/>
      <c r="G148" s="137"/>
      <c r="H148" s="137"/>
      <c r="I148" s="137"/>
      <c r="J148" s="137"/>
      <c r="K148" s="137"/>
      <c r="L148" s="137"/>
      <c r="M148" s="137"/>
      <c r="N148" s="137"/>
      <c r="O148" s="137"/>
      <c r="P148" s="137"/>
    </row>
    <row r="149" spans="1:16" hidden="1">
      <c r="A149" s="137"/>
      <c r="B149" s="137"/>
      <c r="D149" s="137"/>
      <c r="E149" s="137"/>
      <c r="F149" s="137"/>
      <c r="G149" s="137"/>
      <c r="H149" s="137"/>
      <c r="I149" s="137"/>
      <c r="J149" s="137"/>
      <c r="K149" s="137"/>
      <c r="L149" s="137"/>
      <c r="M149" s="137"/>
      <c r="N149" s="137"/>
      <c r="O149" s="137"/>
      <c r="P149" s="137"/>
    </row>
    <row r="150" spans="1:16" hidden="1"/>
    <row r="151" spans="1:16" hidden="1"/>
    <row r="152" spans="1:16" hidden="1"/>
    <row r="153" spans="1:16" hidden="1"/>
    <row r="154" spans="1:16" hidden="1"/>
    <row r="155" spans="1:16" hidden="1"/>
  </sheetData>
  <dataConsolidate/>
  <mergeCells count="13">
    <mergeCell ref="A47:A48"/>
    <mergeCell ref="A44:A46"/>
    <mergeCell ref="A41:A43"/>
    <mergeCell ref="A39:A40"/>
    <mergeCell ref="A1:C1"/>
    <mergeCell ref="A2:C2"/>
    <mergeCell ref="A12:A14"/>
    <mergeCell ref="A15:A17"/>
    <mergeCell ref="A23:A24"/>
    <mergeCell ref="A4:B5"/>
    <mergeCell ref="A6:A8"/>
    <mergeCell ref="C4:C5"/>
    <mergeCell ref="A9:A11"/>
  </mergeCells>
  <phoneticPr fontId="0" type="noConversion"/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blackAndWhite="1" r:id="rId1"/>
  <headerFooter scaleWithDoc="0" alignWithMargins="0"/>
  <ignoredErrors>
    <ignoredError sqref="D40 D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J195"/>
  <sheetViews>
    <sheetView showGridLines="0" showZeros="0" topLeftCell="C1" zoomScale="130" zoomScaleNormal="130" workbookViewId="0">
      <pane ySplit="7" topLeftCell="A56" activePane="bottomLeft" state="frozen"/>
      <selection pane="bottomLeft" activeCell="J13" sqref="J13"/>
    </sheetView>
  </sheetViews>
  <sheetFormatPr defaultColWidth="0" defaultRowHeight="12.75" zeroHeight="1"/>
  <cols>
    <col min="1" max="1" width="4.7109375" style="137" customWidth="1"/>
    <col min="2" max="2" width="35.140625" style="137" customWidth="1"/>
    <col min="3" max="3" width="7.5703125" style="111" bestFit="1" customWidth="1"/>
    <col min="4" max="4" width="9" style="111" customWidth="1"/>
    <col min="5" max="5" width="9.140625" style="111" customWidth="1"/>
    <col min="6" max="6" width="9.7109375" style="111" customWidth="1"/>
    <col min="7" max="8" width="9" style="111" customWidth="1"/>
    <col min="9" max="9" width="10.28515625" style="111" customWidth="1"/>
    <col min="10" max="10" width="9.28515625" style="137" customWidth="1"/>
    <col min="11" max="16384" width="0" style="137" hidden="1"/>
  </cols>
  <sheetData>
    <row r="1" spans="1:10">
      <c r="B1" s="706">
        <v>1</v>
      </c>
      <c r="C1" s="706"/>
      <c r="I1" s="138" t="s">
        <v>691</v>
      </c>
    </row>
    <row r="2" spans="1:10">
      <c r="B2" s="707" t="s">
        <v>395</v>
      </c>
      <c r="C2" s="707"/>
    </row>
    <row r="3" spans="1:10">
      <c r="A3" s="157"/>
      <c r="B3" s="707" t="s">
        <v>773</v>
      </c>
      <c r="C3" s="707"/>
      <c r="D3" s="157"/>
      <c r="E3" s="157"/>
      <c r="F3" s="157"/>
      <c r="G3" s="157"/>
      <c r="H3" s="157"/>
      <c r="I3" s="157"/>
    </row>
    <row r="4" spans="1:10" ht="12.75" customHeight="1" thickBot="1">
      <c r="A4" s="165"/>
      <c r="B4" s="165"/>
      <c r="C4" s="165"/>
      <c r="D4" s="165"/>
      <c r="E4" s="165"/>
      <c r="F4" s="165"/>
      <c r="G4" s="165"/>
      <c r="H4" s="165"/>
      <c r="I4" s="165"/>
    </row>
    <row r="5" spans="1:10" ht="13.5" thickTop="1">
      <c r="A5" s="711" t="s">
        <v>0</v>
      </c>
      <c r="B5" s="713" t="s">
        <v>1</v>
      </c>
      <c r="C5" s="713" t="s">
        <v>2</v>
      </c>
      <c r="D5" s="715">
        <f>'ТИП-ПРОИЗ'!E6</f>
        <v>2015</v>
      </c>
      <c r="E5" s="715"/>
      <c r="F5" s="715"/>
      <c r="G5" s="708">
        <f>'ТИП-ПРОИЗ'!F6</f>
        <v>7.2016</v>
      </c>
      <c r="H5" s="709"/>
      <c r="I5" s="710"/>
    </row>
    <row r="6" spans="1:10">
      <c r="A6" s="712"/>
      <c r="B6" s="714"/>
      <c r="C6" s="714"/>
      <c r="D6" s="166" t="s">
        <v>256</v>
      </c>
      <c r="E6" s="166" t="s">
        <v>85</v>
      </c>
      <c r="F6" s="167" t="s">
        <v>152</v>
      </c>
      <c r="G6" s="166" t="s">
        <v>256</v>
      </c>
      <c r="H6" s="166" t="s">
        <v>85</v>
      </c>
      <c r="I6" s="515" t="s">
        <v>152</v>
      </c>
    </row>
    <row r="7" spans="1:10">
      <c r="A7" s="168">
        <v>1</v>
      </c>
      <c r="B7" s="169">
        <v>2</v>
      </c>
      <c r="C7" s="169">
        <v>3</v>
      </c>
      <c r="D7" s="169">
        <v>4</v>
      </c>
      <c r="E7" s="169">
        <v>5</v>
      </c>
      <c r="F7" s="169" t="s">
        <v>80</v>
      </c>
      <c r="G7" s="169">
        <v>7</v>
      </c>
      <c r="H7" s="169">
        <v>8</v>
      </c>
      <c r="I7" s="170" t="s">
        <v>79</v>
      </c>
    </row>
    <row r="8" spans="1:10">
      <c r="A8" s="171" t="s">
        <v>133</v>
      </c>
      <c r="B8" s="172" t="s">
        <v>151</v>
      </c>
      <c r="C8" s="173" t="s">
        <v>3</v>
      </c>
      <c r="D8" s="135">
        <f>SUM(D9:D10)</f>
        <v>2482.6966000000002</v>
      </c>
      <c r="E8" s="135">
        <f>SUM(E9:E10)</f>
        <v>0</v>
      </c>
      <c r="F8" s="174">
        <f>SUM(D8:E8)</f>
        <v>2482.6966000000002</v>
      </c>
      <c r="G8" s="135">
        <f>SUM(G9:G10)</f>
        <v>2611.7411999999999</v>
      </c>
      <c r="H8" s="135">
        <f>SUM(H9:H10)</f>
        <v>0</v>
      </c>
      <c r="I8" s="175">
        <f>SUM(G8:H8)</f>
        <v>2611.7411999999999</v>
      </c>
    </row>
    <row r="9" spans="1:10">
      <c r="A9" s="176" t="s">
        <v>143</v>
      </c>
      <c r="B9" s="177" t="s">
        <v>39</v>
      </c>
      <c r="C9" s="178" t="s">
        <v>3</v>
      </c>
      <c r="D9" s="179">
        <f>РБА!D76*НВ!F$21</f>
        <v>162.67359999999999</v>
      </c>
      <c r="E9" s="179">
        <f>РБА!E76*НВ!F$21</f>
        <v>0</v>
      </c>
      <c r="F9" s="180">
        <f>SUM(D9,E9)</f>
        <v>162.67359999999999</v>
      </c>
      <c r="G9" s="179">
        <f>РБА!G76*НВ!G$21</f>
        <v>156.28620000000001</v>
      </c>
      <c r="H9" s="179">
        <f>РБА!H76*НВ!G$21</f>
        <v>0</v>
      </c>
      <c r="I9" s="181">
        <f>SUM(G9,H9)</f>
        <v>156.28620000000001</v>
      </c>
    </row>
    <row r="10" spans="1:10" ht="25.5">
      <c r="A10" s="171" t="s">
        <v>103</v>
      </c>
      <c r="B10" s="182" t="s">
        <v>173</v>
      </c>
      <c r="C10" s="183" t="s">
        <v>3</v>
      </c>
      <c r="D10" s="135">
        <f>SUM(D11,D61)</f>
        <v>2320.0230000000001</v>
      </c>
      <c r="E10" s="135">
        <f>SUM(E11,E61)</f>
        <v>0</v>
      </c>
      <c r="F10" s="174">
        <f t="shared" ref="F10:F27" si="0">SUM(D10:E10)</f>
        <v>2320.0230000000001</v>
      </c>
      <c r="G10" s="135">
        <f>SUM(G11,G61)</f>
        <v>2455.4549999999999</v>
      </c>
      <c r="H10" s="135">
        <f>SUM(H11,H61)</f>
        <v>0</v>
      </c>
      <c r="I10" s="175">
        <f t="shared" ref="I10:I27" si="1">SUM(G10:H10)</f>
        <v>2455.4549999999999</v>
      </c>
      <c r="J10" s="693"/>
    </row>
    <row r="11" spans="1:10">
      <c r="A11" s="184" t="s">
        <v>144</v>
      </c>
      <c r="B11" s="185" t="s">
        <v>169</v>
      </c>
      <c r="C11" s="186" t="s">
        <v>3</v>
      </c>
      <c r="D11" s="135">
        <f>SUM(D13,D18,D23:D24,D27,-D59,-D60)</f>
        <v>670</v>
      </c>
      <c r="E11" s="135">
        <f>SUM(E13,E18,E23:E24,E27,-E59,-E60)</f>
        <v>0</v>
      </c>
      <c r="F11" s="135">
        <f t="shared" si="0"/>
        <v>670</v>
      </c>
      <c r="G11" s="135">
        <f>SUM(G13,G18,G23:G24,G27,-G59,-G60)</f>
        <v>701</v>
      </c>
      <c r="H11" s="135">
        <f>SUM(H13,H18,H23:H24,H27,-H59,-H60)</f>
        <v>0</v>
      </c>
      <c r="I11" s="187">
        <f t="shared" si="1"/>
        <v>701</v>
      </c>
    </row>
    <row r="12" spans="1:10">
      <c r="A12" s="184" t="s">
        <v>145</v>
      </c>
      <c r="B12" s="188" t="s">
        <v>448</v>
      </c>
      <c r="C12" s="186" t="s">
        <v>3</v>
      </c>
      <c r="D12" s="135">
        <f>SUM(D11,-D13)</f>
        <v>512</v>
      </c>
      <c r="E12" s="135">
        <f>SUM(E11,-E13)</f>
        <v>0</v>
      </c>
      <c r="F12" s="135">
        <f t="shared" si="0"/>
        <v>512</v>
      </c>
      <c r="G12" s="135">
        <f>SUM(G11,-G13)</f>
        <v>543</v>
      </c>
      <c r="H12" s="135">
        <f>SUM(H11,-H13)</f>
        <v>0</v>
      </c>
      <c r="I12" s="187">
        <f t="shared" si="1"/>
        <v>543</v>
      </c>
    </row>
    <row r="13" spans="1:10">
      <c r="A13" s="189">
        <v>1</v>
      </c>
      <c r="B13" s="190" t="s">
        <v>4</v>
      </c>
      <c r="C13" s="191" t="s">
        <v>3</v>
      </c>
      <c r="D13" s="117">
        <f>SUM(D14:D15,D17)</f>
        <v>158</v>
      </c>
      <c r="E13" s="117">
        <f>SUM(E14:E15,E17)</f>
        <v>0</v>
      </c>
      <c r="F13" s="117">
        <f t="shared" si="0"/>
        <v>158</v>
      </c>
      <c r="G13" s="117">
        <f>SUM(G14:G17)</f>
        <v>158</v>
      </c>
      <c r="H13" s="117">
        <f>SUM(H14:H15,H17)</f>
        <v>0</v>
      </c>
      <c r="I13" s="192">
        <f t="shared" si="1"/>
        <v>158</v>
      </c>
    </row>
    <row r="14" spans="1:10">
      <c r="A14" s="193" t="s">
        <v>262</v>
      </c>
      <c r="B14" s="125" t="s">
        <v>170</v>
      </c>
      <c r="C14" s="191" t="s">
        <v>3</v>
      </c>
      <c r="D14" s="84">
        <v>110</v>
      </c>
      <c r="E14" s="72"/>
      <c r="F14" s="126">
        <f t="shared" si="0"/>
        <v>110</v>
      </c>
      <c r="G14" s="690">
        <v>110</v>
      </c>
      <c r="H14" s="72"/>
      <c r="I14" s="194">
        <f t="shared" si="1"/>
        <v>110</v>
      </c>
    </row>
    <row r="15" spans="1:10">
      <c r="A15" s="193" t="s">
        <v>263</v>
      </c>
      <c r="B15" s="125" t="s">
        <v>445</v>
      </c>
      <c r="C15" s="191" t="s">
        <v>3</v>
      </c>
      <c r="D15" s="84">
        <v>15</v>
      </c>
      <c r="E15" s="9"/>
      <c r="F15" s="126">
        <f t="shared" si="0"/>
        <v>15</v>
      </c>
      <c r="G15" s="84">
        <v>15</v>
      </c>
      <c r="H15" s="9"/>
      <c r="I15" s="194">
        <f t="shared" si="1"/>
        <v>15</v>
      </c>
    </row>
    <row r="16" spans="1:10">
      <c r="A16" s="193"/>
      <c r="B16" s="125" t="s">
        <v>447</v>
      </c>
      <c r="C16" s="191" t="s">
        <v>3</v>
      </c>
      <c r="D16" s="84"/>
      <c r="E16" s="72"/>
      <c r="F16" s="126"/>
      <c r="G16" s="84"/>
      <c r="H16" s="72"/>
      <c r="I16" s="194"/>
    </row>
    <row r="17" spans="1:9">
      <c r="A17" s="193" t="s">
        <v>264</v>
      </c>
      <c r="B17" s="125" t="s">
        <v>127</v>
      </c>
      <c r="C17" s="191" t="s">
        <v>3</v>
      </c>
      <c r="D17" s="84">
        <v>33</v>
      </c>
      <c r="E17" s="72"/>
      <c r="F17" s="126">
        <f t="shared" si="0"/>
        <v>33</v>
      </c>
      <c r="G17" s="84">
        <v>33</v>
      </c>
      <c r="H17" s="72"/>
      <c r="I17" s="194">
        <f t="shared" si="1"/>
        <v>33</v>
      </c>
    </row>
    <row r="18" spans="1:9">
      <c r="A18" s="189">
        <v>2</v>
      </c>
      <c r="B18" s="190" t="s">
        <v>172</v>
      </c>
      <c r="C18" s="191" t="s">
        <v>3</v>
      </c>
      <c r="D18" s="117">
        <f>SUM(D19:D20,D22)</f>
        <v>242</v>
      </c>
      <c r="E18" s="117">
        <f>SUM(E19:E20,E22)</f>
        <v>0</v>
      </c>
      <c r="F18" s="117">
        <f t="shared" si="0"/>
        <v>242</v>
      </c>
      <c r="G18" s="117">
        <f>SUM(G19:G22)</f>
        <v>253</v>
      </c>
      <c r="H18" s="117">
        <f>SUM(H19:H20,H22)</f>
        <v>0</v>
      </c>
      <c r="I18" s="192">
        <f t="shared" si="1"/>
        <v>253</v>
      </c>
    </row>
    <row r="19" spans="1:9">
      <c r="A19" s="195" t="s">
        <v>278</v>
      </c>
      <c r="B19" s="126" t="s">
        <v>171</v>
      </c>
      <c r="C19" s="191" t="s">
        <v>3</v>
      </c>
      <c r="D19" s="84">
        <v>175</v>
      </c>
      <c r="E19" s="72"/>
      <c r="F19" s="126">
        <f t="shared" si="0"/>
        <v>175</v>
      </c>
      <c r="G19" s="690">
        <v>180</v>
      </c>
      <c r="H19" s="72"/>
      <c r="I19" s="194">
        <f t="shared" si="1"/>
        <v>180</v>
      </c>
    </row>
    <row r="20" spans="1:9">
      <c r="A20" s="195" t="s">
        <v>279</v>
      </c>
      <c r="B20" s="125" t="s">
        <v>445</v>
      </c>
      <c r="C20" s="191" t="s">
        <v>3</v>
      </c>
      <c r="D20" s="84">
        <v>25</v>
      </c>
      <c r="E20" s="9"/>
      <c r="F20" s="126">
        <f t="shared" si="0"/>
        <v>25</v>
      </c>
      <c r="G20" s="84">
        <v>25</v>
      </c>
      <c r="H20" s="9"/>
      <c r="I20" s="194">
        <f t="shared" si="1"/>
        <v>25</v>
      </c>
    </row>
    <row r="21" spans="1:9">
      <c r="A21" s="195"/>
      <c r="B21" s="125" t="s">
        <v>446</v>
      </c>
      <c r="C21" s="191"/>
      <c r="D21" s="84"/>
      <c r="E21" s="72"/>
      <c r="F21" s="126"/>
      <c r="G21" s="84"/>
      <c r="H21" s="72"/>
      <c r="I21" s="194"/>
    </row>
    <row r="22" spans="1:9">
      <c r="A22" s="195" t="s">
        <v>282</v>
      </c>
      <c r="B22" s="125" t="s">
        <v>127</v>
      </c>
      <c r="C22" s="191" t="s">
        <v>3</v>
      </c>
      <c r="D22" s="84">
        <v>42</v>
      </c>
      <c r="E22" s="72"/>
      <c r="F22" s="126">
        <f t="shared" si="0"/>
        <v>42</v>
      </c>
      <c r="G22" s="690">
        <v>48</v>
      </c>
      <c r="H22" s="72"/>
      <c r="I22" s="194">
        <f t="shared" si="1"/>
        <v>48</v>
      </c>
    </row>
    <row r="23" spans="1:9">
      <c r="A23" s="189">
        <v>3</v>
      </c>
      <c r="B23" s="190" t="s">
        <v>119</v>
      </c>
      <c r="C23" s="191" t="s">
        <v>3</v>
      </c>
      <c r="D23" s="84">
        <v>95</v>
      </c>
      <c r="E23" s="9"/>
      <c r="F23" s="117">
        <f t="shared" si="0"/>
        <v>95</v>
      </c>
      <c r="G23" s="84">
        <v>98</v>
      </c>
      <c r="H23" s="9"/>
      <c r="I23" s="192">
        <f t="shared" si="1"/>
        <v>98</v>
      </c>
    </row>
    <row r="24" spans="1:9" ht="25.5" customHeight="1">
      <c r="A24" s="189">
        <v>4</v>
      </c>
      <c r="B24" s="196" t="s">
        <v>317</v>
      </c>
      <c r="C24" s="191" t="s">
        <v>3</v>
      </c>
      <c r="D24" s="125">
        <f>SUM(D25:D26)</f>
        <v>17</v>
      </c>
      <c r="E24" s="197">
        <f>SUM(E25:E26)</f>
        <v>0</v>
      </c>
      <c r="F24" s="117">
        <f t="shared" si="0"/>
        <v>17</v>
      </c>
      <c r="G24" s="125">
        <f>SUM(G25:G26)</f>
        <v>18</v>
      </c>
      <c r="H24" s="197">
        <f>SUM(H25:H26)</f>
        <v>0</v>
      </c>
      <c r="I24" s="192">
        <f t="shared" si="1"/>
        <v>18</v>
      </c>
    </row>
    <row r="25" spans="1:9">
      <c r="A25" s="193" t="s">
        <v>257</v>
      </c>
      <c r="B25" s="198" t="s">
        <v>290</v>
      </c>
      <c r="C25" s="191" t="s">
        <v>3</v>
      </c>
      <c r="D25" s="55">
        <v>17</v>
      </c>
      <c r="E25" s="9"/>
      <c r="F25" s="117">
        <f t="shared" si="0"/>
        <v>17</v>
      </c>
      <c r="G25" s="55">
        <v>18</v>
      </c>
      <c r="H25" s="9"/>
      <c r="I25" s="192">
        <f t="shared" si="1"/>
        <v>18</v>
      </c>
    </row>
    <row r="26" spans="1:9">
      <c r="A26" s="193" t="s">
        <v>258</v>
      </c>
      <c r="B26" s="198" t="s">
        <v>291</v>
      </c>
      <c r="C26" s="191" t="s">
        <v>3</v>
      </c>
      <c r="D26" s="55"/>
      <c r="E26" s="9"/>
      <c r="F26" s="117">
        <f t="shared" si="0"/>
        <v>0</v>
      </c>
      <c r="G26" s="55"/>
      <c r="H26" s="9"/>
      <c r="I26" s="192">
        <f t="shared" si="1"/>
        <v>0</v>
      </c>
    </row>
    <row r="27" spans="1:9" ht="25.5">
      <c r="A27" s="189">
        <v>5</v>
      </c>
      <c r="B27" s="190" t="s">
        <v>748</v>
      </c>
      <c r="C27" s="191" t="s">
        <v>3</v>
      </c>
      <c r="D27" s="126">
        <f>SUM(D28:D57)</f>
        <v>158</v>
      </c>
      <c r="E27" s="199">
        <f>SUM(E28:E57)</f>
        <v>0</v>
      </c>
      <c r="F27" s="117">
        <f t="shared" si="0"/>
        <v>158</v>
      </c>
      <c r="G27" s="126">
        <f>SUM(G28:G57)</f>
        <v>174</v>
      </c>
      <c r="H27" s="199">
        <f>SUM(H28:H57)</f>
        <v>0</v>
      </c>
      <c r="I27" s="192">
        <f t="shared" si="1"/>
        <v>174</v>
      </c>
    </row>
    <row r="28" spans="1:9">
      <c r="A28" s="193" t="s">
        <v>269</v>
      </c>
      <c r="B28" s="198" t="s">
        <v>104</v>
      </c>
      <c r="C28" s="191" t="s">
        <v>3</v>
      </c>
      <c r="D28" s="55">
        <v>20</v>
      </c>
      <c r="E28" s="9"/>
      <c r="F28" s="126">
        <f t="shared" ref="F28:F78" si="2">SUM(D28:E28)</f>
        <v>20</v>
      </c>
      <c r="G28" s="55">
        <v>20</v>
      </c>
      <c r="H28" s="9"/>
      <c r="I28" s="194">
        <f t="shared" ref="I28:I51" si="3">SUM(G28:H28)</f>
        <v>20</v>
      </c>
    </row>
    <row r="29" spans="1:9">
      <c r="A29" s="193" t="s">
        <v>270</v>
      </c>
      <c r="B29" s="198" t="s">
        <v>105</v>
      </c>
      <c r="C29" s="191" t="s">
        <v>3</v>
      </c>
      <c r="D29" s="55">
        <v>4</v>
      </c>
      <c r="E29" s="9"/>
      <c r="F29" s="126">
        <f t="shared" si="2"/>
        <v>4</v>
      </c>
      <c r="G29" s="55">
        <v>5</v>
      </c>
      <c r="H29" s="9"/>
      <c r="I29" s="194">
        <f t="shared" si="3"/>
        <v>5</v>
      </c>
    </row>
    <row r="30" spans="1:9">
      <c r="A30" s="193" t="s">
        <v>271</v>
      </c>
      <c r="B30" s="198" t="s">
        <v>106</v>
      </c>
      <c r="C30" s="191" t="s">
        <v>3</v>
      </c>
      <c r="D30" s="55">
        <v>4</v>
      </c>
      <c r="E30" s="9"/>
      <c r="F30" s="126">
        <f t="shared" si="2"/>
        <v>4</v>
      </c>
      <c r="G30" s="55">
        <v>4</v>
      </c>
      <c r="H30" s="9"/>
      <c r="I30" s="194">
        <f t="shared" si="3"/>
        <v>4</v>
      </c>
    </row>
    <row r="31" spans="1:9">
      <c r="A31" s="193" t="s">
        <v>272</v>
      </c>
      <c r="B31" s="198" t="s">
        <v>107</v>
      </c>
      <c r="C31" s="191" t="s">
        <v>3</v>
      </c>
      <c r="D31" s="55">
        <v>38</v>
      </c>
      <c r="E31" s="9"/>
      <c r="F31" s="126">
        <f t="shared" si="2"/>
        <v>38</v>
      </c>
      <c r="G31" s="55">
        <v>38</v>
      </c>
      <c r="H31" s="9"/>
      <c r="I31" s="194">
        <f t="shared" si="3"/>
        <v>38</v>
      </c>
    </row>
    <row r="32" spans="1:9">
      <c r="A32" s="193" t="s">
        <v>273</v>
      </c>
      <c r="B32" s="198" t="s">
        <v>108</v>
      </c>
      <c r="C32" s="191" t="s">
        <v>3</v>
      </c>
      <c r="D32" s="55">
        <v>8</v>
      </c>
      <c r="E32" s="9"/>
      <c r="F32" s="126">
        <f t="shared" si="2"/>
        <v>8</v>
      </c>
      <c r="G32" s="55">
        <v>8</v>
      </c>
      <c r="H32" s="9"/>
      <c r="I32" s="194">
        <f t="shared" si="3"/>
        <v>8</v>
      </c>
    </row>
    <row r="33" spans="1:9">
      <c r="A33" s="193" t="s">
        <v>274</v>
      </c>
      <c r="B33" s="198" t="s">
        <v>109</v>
      </c>
      <c r="C33" s="191" t="s">
        <v>3</v>
      </c>
      <c r="D33" s="55">
        <v>67</v>
      </c>
      <c r="E33" s="9"/>
      <c r="F33" s="126">
        <f t="shared" si="2"/>
        <v>67</v>
      </c>
      <c r="G33" s="692">
        <v>78</v>
      </c>
      <c r="H33" s="9"/>
      <c r="I33" s="194">
        <f t="shared" si="3"/>
        <v>78</v>
      </c>
    </row>
    <row r="34" spans="1:9" ht="25.5">
      <c r="A34" s="193" t="s">
        <v>292</v>
      </c>
      <c r="B34" s="198" t="s">
        <v>110</v>
      </c>
      <c r="C34" s="191" t="s">
        <v>3</v>
      </c>
      <c r="D34" s="55"/>
      <c r="E34" s="9"/>
      <c r="F34" s="126">
        <f t="shared" si="2"/>
        <v>0</v>
      </c>
      <c r="G34" s="55"/>
      <c r="H34" s="9"/>
      <c r="I34" s="194">
        <f t="shared" si="3"/>
        <v>0</v>
      </c>
    </row>
    <row r="35" spans="1:9">
      <c r="A35" s="193" t="s">
        <v>293</v>
      </c>
      <c r="B35" s="198" t="s">
        <v>111</v>
      </c>
      <c r="C35" s="191" t="s">
        <v>3</v>
      </c>
      <c r="D35" s="55"/>
      <c r="E35" s="9"/>
      <c r="F35" s="126">
        <f t="shared" si="2"/>
        <v>0</v>
      </c>
      <c r="G35" s="55"/>
      <c r="H35" s="9"/>
      <c r="I35" s="194">
        <f t="shared" si="3"/>
        <v>0</v>
      </c>
    </row>
    <row r="36" spans="1:9">
      <c r="A36" s="193" t="s">
        <v>294</v>
      </c>
      <c r="B36" s="198" t="s">
        <v>112</v>
      </c>
      <c r="C36" s="191" t="s">
        <v>3</v>
      </c>
      <c r="D36" s="55"/>
      <c r="E36" s="9"/>
      <c r="F36" s="126">
        <f t="shared" si="2"/>
        <v>0</v>
      </c>
      <c r="G36" s="55"/>
      <c r="H36" s="9"/>
      <c r="I36" s="194">
        <f t="shared" si="3"/>
        <v>0</v>
      </c>
    </row>
    <row r="37" spans="1:9">
      <c r="A37" s="193" t="s">
        <v>310</v>
      </c>
      <c r="B37" s="198" t="s">
        <v>113</v>
      </c>
      <c r="C37" s="191" t="s">
        <v>3</v>
      </c>
      <c r="D37" s="55">
        <v>2</v>
      </c>
      <c r="E37" s="9"/>
      <c r="F37" s="126">
        <f t="shared" si="2"/>
        <v>2</v>
      </c>
      <c r="G37" s="55">
        <v>2</v>
      </c>
      <c r="H37" s="9"/>
      <c r="I37" s="194">
        <f t="shared" si="3"/>
        <v>2</v>
      </c>
    </row>
    <row r="38" spans="1:9">
      <c r="A38" s="193" t="s">
        <v>295</v>
      </c>
      <c r="B38" s="198" t="s">
        <v>114</v>
      </c>
      <c r="C38" s="191" t="s">
        <v>3</v>
      </c>
      <c r="D38" s="55">
        <v>2</v>
      </c>
      <c r="E38" s="9"/>
      <c r="F38" s="126">
        <f t="shared" si="2"/>
        <v>2</v>
      </c>
      <c r="G38" s="55">
        <v>2</v>
      </c>
      <c r="H38" s="9"/>
      <c r="I38" s="194">
        <f t="shared" si="3"/>
        <v>2</v>
      </c>
    </row>
    <row r="39" spans="1:9">
      <c r="A39" s="193" t="s">
        <v>296</v>
      </c>
      <c r="B39" s="198" t="s">
        <v>115</v>
      </c>
      <c r="C39" s="191" t="s">
        <v>3</v>
      </c>
      <c r="D39" s="55"/>
      <c r="E39" s="9"/>
      <c r="F39" s="126">
        <f t="shared" si="2"/>
        <v>0</v>
      </c>
      <c r="G39" s="55"/>
      <c r="H39" s="9"/>
      <c r="I39" s="194">
        <f t="shared" si="3"/>
        <v>0</v>
      </c>
    </row>
    <row r="40" spans="1:9">
      <c r="A40" s="193" t="s">
        <v>297</v>
      </c>
      <c r="B40" s="198" t="s">
        <v>116</v>
      </c>
      <c r="C40" s="191" t="s">
        <v>3</v>
      </c>
      <c r="D40" s="55">
        <v>5</v>
      </c>
      <c r="E40" s="9"/>
      <c r="F40" s="126">
        <f t="shared" si="2"/>
        <v>5</v>
      </c>
      <c r="G40" s="55">
        <v>5</v>
      </c>
      <c r="H40" s="65"/>
      <c r="I40" s="194">
        <f t="shared" si="3"/>
        <v>5</v>
      </c>
    </row>
    <row r="41" spans="1:9">
      <c r="A41" s="193" t="s">
        <v>298</v>
      </c>
      <c r="B41" s="198" t="s">
        <v>118</v>
      </c>
      <c r="C41" s="191" t="s">
        <v>3</v>
      </c>
      <c r="D41" s="55">
        <v>2</v>
      </c>
      <c r="E41" s="9"/>
      <c r="F41" s="126">
        <f t="shared" si="2"/>
        <v>2</v>
      </c>
      <c r="G41" s="55">
        <v>2</v>
      </c>
      <c r="H41" s="9"/>
      <c r="I41" s="194">
        <f t="shared" si="3"/>
        <v>2</v>
      </c>
    </row>
    <row r="42" spans="1:9" ht="25.5">
      <c r="A42" s="193" t="s">
        <v>299</v>
      </c>
      <c r="B42" s="198" t="s">
        <v>120</v>
      </c>
      <c r="C42" s="191" t="s">
        <v>3</v>
      </c>
      <c r="D42" s="55">
        <v>4</v>
      </c>
      <c r="E42" s="9"/>
      <c r="F42" s="125">
        <f t="shared" ref="F42:F51" si="4">SUM(D42:E42)</f>
        <v>4</v>
      </c>
      <c r="G42" s="55">
        <v>4</v>
      </c>
      <c r="H42" s="70"/>
      <c r="I42" s="516">
        <f t="shared" si="3"/>
        <v>4</v>
      </c>
    </row>
    <row r="43" spans="1:9">
      <c r="A43" s="193" t="s">
        <v>300</v>
      </c>
      <c r="B43" s="198" t="s">
        <v>121</v>
      </c>
      <c r="C43" s="191" t="s">
        <v>3</v>
      </c>
      <c r="D43" s="55">
        <v>1</v>
      </c>
      <c r="E43" s="9"/>
      <c r="F43" s="125">
        <f t="shared" si="4"/>
        <v>1</v>
      </c>
      <c r="G43" s="55">
        <v>1</v>
      </c>
      <c r="H43" s="71"/>
      <c r="I43" s="516">
        <f t="shared" si="3"/>
        <v>1</v>
      </c>
    </row>
    <row r="44" spans="1:9">
      <c r="A44" s="193" t="s">
        <v>301</v>
      </c>
      <c r="B44" s="198" t="s">
        <v>122</v>
      </c>
      <c r="C44" s="191" t="s">
        <v>3</v>
      </c>
      <c r="D44" s="55"/>
      <c r="E44" s="9"/>
      <c r="F44" s="125">
        <f t="shared" si="4"/>
        <v>0</v>
      </c>
      <c r="G44" s="55"/>
      <c r="H44" s="71"/>
      <c r="I44" s="516">
        <f t="shared" si="3"/>
        <v>0</v>
      </c>
    </row>
    <row r="45" spans="1:9">
      <c r="A45" s="193" t="s">
        <v>302</v>
      </c>
      <c r="B45" s="198" t="s">
        <v>123</v>
      </c>
      <c r="C45" s="191" t="s">
        <v>3</v>
      </c>
      <c r="D45" s="55">
        <v>1</v>
      </c>
      <c r="E45" s="9"/>
      <c r="F45" s="125">
        <f t="shared" si="4"/>
        <v>1</v>
      </c>
      <c r="G45" s="55">
        <v>1</v>
      </c>
      <c r="H45" s="71"/>
      <c r="I45" s="516">
        <f t="shared" si="3"/>
        <v>1</v>
      </c>
    </row>
    <row r="46" spans="1:9">
      <c r="A46" s="193" t="s">
        <v>303</v>
      </c>
      <c r="B46" s="200" t="s">
        <v>124</v>
      </c>
      <c r="C46" s="191" t="s">
        <v>3</v>
      </c>
      <c r="D46" s="55"/>
      <c r="E46" s="9"/>
      <c r="F46" s="125">
        <f t="shared" si="4"/>
        <v>0</v>
      </c>
      <c r="G46" s="55">
        <v>4</v>
      </c>
      <c r="H46" s="9"/>
      <c r="I46" s="516">
        <f t="shared" si="3"/>
        <v>4</v>
      </c>
    </row>
    <row r="47" spans="1:9">
      <c r="A47" s="193" t="s">
        <v>304</v>
      </c>
      <c r="B47" s="200" t="s">
        <v>125</v>
      </c>
      <c r="C47" s="191" t="s">
        <v>3</v>
      </c>
      <c r="D47" s="55"/>
      <c r="E47" s="9"/>
      <c r="F47" s="125">
        <f t="shared" si="4"/>
        <v>0</v>
      </c>
      <c r="G47" s="55"/>
      <c r="H47" s="9"/>
      <c r="I47" s="516">
        <f t="shared" si="3"/>
        <v>0</v>
      </c>
    </row>
    <row r="48" spans="1:9">
      <c r="A48" s="193" t="s">
        <v>305</v>
      </c>
      <c r="B48" s="200" t="s">
        <v>126</v>
      </c>
      <c r="C48" s="191" t="s">
        <v>3</v>
      </c>
      <c r="D48" s="55"/>
      <c r="E48" s="9"/>
      <c r="F48" s="125">
        <f t="shared" si="4"/>
        <v>0</v>
      </c>
      <c r="G48" s="55"/>
      <c r="H48" s="9"/>
      <c r="I48" s="516">
        <f t="shared" si="3"/>
        <v>0</v>
      </c>
    </row>
    <row r="49" spans="1:9">
      <c r="A49" s="193" t="s">
        <v>306</v>
      </c>
      <c r="B49" s="201" t="s">
        <v>321</v>
      </c>
      <c r="C49" s="191" t="s">
        <v>3</v>
      </c>
      <c r="D49" s="55"/>
      <c r="E49" s="9"/>
      <c r="F49" s="125">
        <f t="shared" si="4"/>
        <v>0</v>
      </c>
      <c r="G49" s="55"/>
      <c r="H49" s="9"/>
      <c r="I49" s="516">
        <f t="shared" si="3"/>
        <v>0</v>
      </c>
    </row>
    <row r="50" spans="1:9">
      <c r="A50" s="193" t="s">
        <v>307</v>
      </c>
      <c r="B50" s="202" t="s">
        <v>117</v>
      </c>
      <c r="C50" s="191" t="s">
        <v>3</v>
      </c>
      <c r="D50" s="55"/>
      <c r="E50" s="9"/>
      <c r="F50" s="126">
        <f t="shared" si="4"/>
        <v>0</v>
      </c>
      <c r="G50" s="55"/>
      <c r="H50" s="65"/>
      <c r="I50" s="194">
        <f t="shared" si="3"/>
        <v>0</v>
      </c>
    </row>
    <row r="51" spans="1:9">
      <c r="A51" s="193" t="s">
        <v>308</v>
      </c>
      <c r="B51" s="202"/>
      <c r="C51" s="191" t="s">
        <v>3</v>
      </c>
      <c r="D51" s="84"/>
      <c r="E51" s="9"/>
      <c r="F51" s="125">
        <f t="shared" si="4"/>
        <v>0</v>
      </c>
      <c r="G51" s="84"/>
      <c r="H51" s="9"/>
      <c r="I51" s="516">
        <f t="shared" si="3"/>
        <v>0</v>
      </c>
    </row>
    <row r="52" spans="1:9">
      <c r="A52" s="193" t="s">
        <v>309</v>
      </c>
      <c r="B52" s="203"/>
      <c r="C52" s="191"/>
      <c r="D52" s="55"/>
      <c r="E52" s="9"/>
      <c r="F52" s="125"/>
      <c r="G52" s="55"/>
      <c r="H52" s="9"/>
      <c r="I52" s="516"/>
    </row>
    <row r="53" spans="1:9">
      <c r="A53" s="193" t="s">
        <v>311</v>
      </c>
      <c r="B53" s="203"/>
      <c r="C53" s="191"/>
      <c r="D53" s="55"/>
      <c r="E53" s="9"/>
      <c r="F53" s="125"/>
      <c r="G53" s="55"/>
      <c r="H53" s="9"/>
      <c r="I53" s="516"/>
    </row>
    <row r="54" spans="1:9">
      <c r="A54" s="193" t="s">
        <v>312</v>
      </c>
      <c r="B54" s="203"/>
      <c r="C54" s="191"/>
      <c r="D54" s="55"/>
      <c r="E54" s="9"/>
      <c r="F54" s="125"/>
      <c r="G54" s="55"/>
      <c r="H54" s="9"/>
      <c r="I54" s="516"/>
    </row>
    <row r="55" spans="1:9">
      <c r="A55" s="193" t="s">
        <v>313</v>
      </c>
      <c r="B55" s="203"/>
      <c r="C55" s="191"/>
      <c r="D55" s="55"/>
      <c r="E55" s="9"/>
      <c r="F55" s="125"/>
      <c r="G55" s="55"/>
      <c r="H55" s="9"/>
      <c r="I55" s="516"/>
    </row>
    <row r="56" spans="1:9">
      <c r="A56" s="193" t="s">
        <v>314</v>
      </c>
      <c r="B56" s="203"/>
      <c r="C56" s="191"/>
      <c r="D56" s="55"/>
      <c r="E56" s="9"/>
      <c r="F56" s="125"/>
      <c r="G56" s="55"/>
      <c r="H56" s="9"/>
      <c r="I56" s="516"/>
    </row>
    <row r="57" spans="1:9">
      <c r="A57" s="193" t="s">
        <v>315</v>
      </c>
      <c r="B57" s="203"/>
      <c r="C57" s="191"/>
      <c r="D57" s="55"/>
      <c r="E57" s="9"/>
      <c r="F57" s="125"/>
      <c r="G57" s="55"/>
      <c r="H57" s="9"/>
      <c r="I57" s="516"/>
    </row>
    <row r="58" spans="1:9" ht="25.5">
      <c r="A58" s="189">
        <v>8</v>
      </c>
      <c r="B58" s="204" t="s">
        <v>95</v>
      </c>
      <c r="C58" s="191" t="s">
        <v>96</v>
      </c>
      <c r="D58" s="55"/>
      <c r="E58" s="9"/>
      <c r="F58" s="125">
        <f t="shared" si="2"/>
        <v>0</v>
      </c>
      <c r="G58" s="55"/>
      <c r="H58" s="9"/>
      <c r="I58" s="516">
        <f t="shared" ref="I58:I68" si="5">SUM(G58:H58)</f>
        <v>0</v>
      </c>
    </row>
    <row r="59" spans="1:9">
      <c r="A59" s="189">
        <v>9</v>
      </c>
      <c r="B59" s="205" t="s">
        <v>88</v>
      </c>
      <c r="C59" s="191" t="s">
        <v>3</v>
      </c>
      <c r="D59" s="55"/>
      <c r="E59" s="9"/>
      <c r="F59" s="125">
        <f t="shared" si="2"/>
        <v>0</v>
      </c>
      <c r="G59" s="55"/>
      <c r="H59" s="9"/>
      <c r="I59" s="516">
        <f t="shared" si="5"/>
        <v>0</v>
      </c>
    </row>
    <row r="60" spans="1:9">
      <c r="A60" s="189">
        <v>10</v>
      </c>
      <c r="B60" s="205" t="s">
        <v>99</v>
      </c>
      <c r="C60" s="191" t="s">
        <v>3</v>
      </c>
      <c r="D60" s="55"/>
      <c r="E60" s="9"/>
      <c r="F60" s="125">
        <f t="shared" si="2"/>
        <v>0</v>
      </c>
      <c r="G60" s="55"/>
      <c r="H60" s="9"/>
      <c r="I60" s="516">
        <f t="shared" si="5"/>
        <v>0</v>
      </c>
    </row>
    <row r="61" spans="1:9" s="207" customFormat="1">
      <c r="A61" s="171" t="s">
        <v>145</v>
      </c>
      <c r="B61" s="206" t="s">
        <v>8</v>
      </c>
      <c r="C61" s="186" t="s">
        <v>3</v>
      </c>
      <c r="D61" s="174">
        <f>SUM(D62,D78:D79,D82,D85)</f>
        <v>1650.0229999999999</v>
      </c>
      <c r="E61" s="174">
        <f>SUM(E62,E78:E85)</f>
        <v>0</v>
      </c>
      <c r="F61" s="174">
        <f t="shared" si="2"/>
        <v>1650.0229999999999</v>
      </c>
      <c r="G61" s="174">
        <f>SUM(G62,G78:G79,G82,G85)</f>
        <v>1754.4549999999999</v>
      </c>
      <c r="H61" s="174">
        <f>SUM(H62,H78:H85)</f>
        <v>0</v>
      </c>
      <c r="I61" s="175">
        <f t="shared" si="5"/>
        <v>1754.4549999999999</v>
      </c>
    </row>
    <row r="62" spans="1:9">
      <c r="A62" s="208">
        <v>1</v>
      </c>
      <c r="B62" s="209" t="s">
        <v>444</v>
      </c>
      <c r="C62" s="199" t="s">
        <v>3</v>
      </c>
      <c r="D62" s="125">
        <f>SUM(D63,D69,D75:D77)</f>
        <v>1567.925</v>
      </c>
      <c r="E62" s="125">
        <f>SUM(E63,E69,E75:E77)</f>
        <v>0</v>
      </c>
      <c r="F62" s="125">
        <f>SUM(D62:E62)</f>
        <v>1567.925</v>
      </c>
      <c r="G62" s="125">
        <f>SUM(G63,G69,G75:G77)</f>
        <v>1660.4549999999999</v>
      </c>
      <c r="H62" s="125">
        <f>SUM(H63,H69,H75:H77)</f>
        <v>0</v>
      </c>
      <c r="I62" s="516">
        <f t="shared" si="5"/>
        <v>1660.4549999999999</v>
      </c>
    </row>
    <row r="63" spans="1:9" s="212" customFormat="1" ht="25.5">
      <c r="A63" s="210" t="s">
        <v>83</v>
      </c>
      <c r="B63" s="211" t="s">
        <v>536</v>
      </c>
      <c r="C63" s="199" t="s">
        <v>3</v>
      </c>
      <c r="D63" s="126">
        <f>SUM(D64:D68)</f>
        <v>1487.925</v>
      </c>
      <c r="E63" s="126"/>
      <c r="F63" s="126">
        <f t="shared" si="2"/>
        <v>1487.925</v>
      </c>
      <c r="G63" s="126">
        <f>SUM(G64:G68)</f>
        <v>1580.4549999999999</v>
      </c>
      <c r="H63" s="126"/>
      <c r="I63" s="194">
        <f t="shared" si="5"/>
        <v>1580.4549999999999</v>
      </c>
    </row>
    <row r="64" spans="1:9">
      <c r="A64" s="210" t="s">
        <v>327</v>
      </c>
      <c r="B64" s="213" t="s">
        <v>9</v>
      </c>
      <c r="C64" s="199" t="s">
        <v>3</v>
      </c>
      <c r="D64" s="126">
        <f>ROUND('ТИП-ПРОИЗ'!E33*'ТИП-ПРОИЗ'!E86/1000,3)</f>
        <v>1487.925</v>
      </c>
      <c r="E64" s="126"/>
      <c r="F64" s="126">
        <f t="shared" si="2"/>
        <v>1487.925</v>
      </c>
      <c r="G64" s="126">
        <f>ROUND('ТИП-ПРОИЗ'!F33*'ТИП-ПРОИЗ'!F86/1000,3)</f>
        <v>1580.4549999999999</v>
      </c>
      <c r="H64" s="126"/>
      <c r="I64" s="194">
        <f t="shared" si="5"/>
        <v>1580.4549999999999</v>
      </c>
    </row>
    <row r="65" spans="1:9">
      <c r="A65" s="210" t="s">
        <v>328</v>
      </c>
      <c r="B65" s="213" t="s">
        <v>10</v>
      </c>
      <c r="C65" s="199" t="s">
        <v>3</v>
      </c>
      <c r="D65" s="126">
        <f>ROUND('ТИП-ПРОИЗ'!E34*'ТИП-ПРОИЗ'!E87/1000,3)</f>
        <v>0</v>
      </c>
      <c r="E65" s="126"/>
      <c r="F65" s="126">
        <f t="shared" si="2"/>
        <v>0</v>
      </c>
      <c r="G65" s="126">
        <f>ROUND('ТИП-ПРОИЗ'!F34*'ТИП-ПРОИЗ'!F87/1000,3)</f>
        <v>0</v>
      </c>
      <c r="H65" s="126"/>
      <c r="I65" s="194">
        <f t="shared" si="5"/>
        <v>0</v>
      </c>
    </row>
    <row r="66" spans="1:9">
      <c r="A66" s="210" t="s">
        <v>329</v>
      </c>
      <c r="B66" s="213" t="s">
        <v>12</v>
      </c>
      <c r="C66" s="199" t="s">
        <v>3</v>
      </c>
      <c r="D66" s="126">
        <f>ROUND('ТИП-ПРОИЗ'!E35*'ТИП-ПРОИЗ'!E88/1000,3)</f>
        <v>0</v>
      </c>
      <c r="E66" s="126"/>
      <c r="F66" s="126">
        <f t="shared" si="2"/>
        <v>0</v>
      </c>
      <c r="G66" s="126">
        <f>ROUND('ТИП-ПРОИЗ'!F35*'ТИП-ПРОИЗ'!F88/1000,3)</f>
        <v>0</v>
      </c>
      <c r="H66" s="126"/>
      <c r="I66" s="194">
        <f t="shared" si="5"/>
        <v>0</v>
      </c>
    </row>
    <row r="67" spans="1:9">
      <c r="A67" s="210" t="s">
        <v>330</v>
      </c>
      <c r="B67" s="213" t="s">
        <v>11</v>
      </c>
      <c r="C67" s="199" t="s">
        <v>3</v>
      </c>
      <c r="D67" s="126">
        <f>ROUND('ТИП-ПРОИЗ'!E36*'ТИП-ПРОИЗ'!E89/1000,3)</f>
        <v>0</v>
      </c>
      <c r="E67" s="126"/>
      <c r="F67" s="126">
        <f t="shared" si="2"/>
        <v>0</v>
      </c>
      <c r="G67" s="126">
        <f>ROUND('ТИП-ПРОИЗ'!F36*'ТИП-ПРОИЗ'!F89/1000,3)</f>
        <v>0</v>
      </c>
      <c r="H67" s="126"/>
      <c r="I67" s="194">
        <f t="shared" si="5"/>
        <v>0</v>
      </c>
    </row>
    <row r="68" spans="1:9">
      <c r="A68" s="210" t="s">
        <v>731</v>
      </c>
      <c r="B68" s="213" t="str">
        <f>'ТИП-ПРОИЗ'!B79</f>
        <v>друг вид гориво (ВЕИ)</v>
      </c>
      <c r="C68" s="199" t="s">
        <v>3</v>
      </c>
      <c r="D68" s="126">
        <f>ROUND('ТИП-ПРОИЗ'!E37*'ТИП-ПРОИЗ'!E90/1000,3)</f>
        <v>0</v>
      </c>
      <c r="E68" s="126"/>
      <c r="F68" s="126">
        <f t="shared" si="2"/>
        <v>0</v>
      </c>
      <c r="G68" s="126">
        <f>ROUND('ТИП-ПРОИЗ'!F37*'ТИП-ПРОИЗ'!F90/1000,3)</f>
        <v>0</v>
      </c>
      <c r="H68" s="126"/>
      <c r="I68" s="194">
        <f t="shared" si="5"/>
        <v>0</v>
      </c>
    </row>
    <row r="69" spans="1:9" s="212" customFormat="1" ht="25.5" customHeight="1">
      <c r="A69" s="210" t="s">
        <v>84</v>
      </c>
      <c r="B69" s="214" t="s">
        <v>535</v>
      </c>
      <c r="C69" s="199" t="s">
        <v>3</v>
      </c>
      <c r="D69" s="126">
        <f>SUM(D70:D74)</f>
        <v>0</v>
      </c>
      <c r="E69" s="126"/>
      <c r="F69" s="126">
        <f t="shared" ref="F69:F74" si="6">SUM(D69:E69)</f>
        <v>0</v>
      </c>
      <c r="G69" s="126">
        <f>SUM(G70:G74)</f>
        <v>0</v>
      </c>
      <c r="H69" s="126"/>
      <c r="I69" s="194">
        <f t="shared" ref="I69:I74" si="7">SUM(G69:H69)</f>
        <v>0</v>
      </c>
    </row>
    <row r="70" spans="1:9">
      <c r="A70" s="210" t="s">
        <v>526</v>
      </c>
      <c r="B70" s="213" t="s">
        <v>9</v>
      </c>
      <c r="C70" s="199" t="s">
        <v>3</v>
      </c>
      <c r="D70" s="126">
        <f>ROUND('ТИП-ПРОИЗ'!E50*'ТИП-ПРОИЗ'!E86/1000,3)</f>
        <v>0</v>
      </c>
      <c r="E70" s="126"/>
      <c r="F70" s="126">
        <f t="shared" si="6"/>
        <v>0</v>
      </c>
      <c r="G70" s="126">
        <f>ROUND('ТИП-ПРОИЗ'!F50*'ТИП-ПРОИЗ'!F86/1000,3)</f>
        <v>0</v>
      </c>
      <c r="H70" s="126"/>
      <c r="I70" s="194">
        <f t="shared" si="7"/>
        <v>0</v>
      </c>
    </row>
    <row r="71" spans="1:9">
      <c r="A71" s="210" t="s">
        <v>527</v>
      </c>
      <c r="B71" s="213" t="s">
        <v>10</v>
      </c>
      <c r="C71" s="199" t="s">
        <v>3</v>
      </c>
      <c r="D71" s="126">
        <f>ROUND('ТИП-ПРОИЗ'!E51*'ТИП-ПРОИЗ'!E87/1000,3)</f>
        <v>0</v>
      </c>
      <c r="E71" s="126"/>
      <c r="F71" s="126">
        <f t="shared" si="6"/>
        <v>0</v>
      </c>
      <c r="G71" s="126">
        <f>ROUND('ТИП-ПРОИЗ'!F51*'ТИП-ПРОИЗ'!F87/1000,3)</f>
        <v>0</v>
      </c>
      <c r="H71" s="126"/>
      <c r="I71" s="194">
        <f t="shared" si="7"/>
        <v>0</v>
      </c>
    </row>
    <row r="72" spans="1:9">
      <c r="A72" s="210" t="s">
        <v>528</v>
      </c>
      <c r="B72" s="213" t="s">
        <v>12</v>
      </c>
      <c r="C72" s="199" t="s">
        <v>3</v>
      </c>
      <c r="D72" s="126">
        <f>ROUND('ТИП-ПРОИЗ'!E52*'ТИП-ПРОИЗ'!E88/1000,3)</f>
        <v>0</v>
      </c>
      <c r="E72" s="126"/>
      <c r="F72" s="126">
        <f t="shared" si="6"/>
        <v>0</v>
      </c>
      <c r="G72" s="126">
        <f>ROUND('ТИП-ПРОИЗ'!F52*'ТИП-ПРОИЗ'!F88/1000,3)</f>
        <v>0</v>
      </c>
      <c r="H72" s="126"/>
      <c r="I72" s="194">
        <f t="shared" si="7"/>
        <v>0</v>
      </c>
    </row>
    <row r="73" spans="1:9">
      <c r="A73" s="210" t="s">
        <v>529</v>
      </c>
      <c r="B73" s="213" t="s">
        <v>11</v>
      </c>
      <c r="C73" s="199" t="s">
        <v>3</v>
      </c>
      <c r="D73" s="126">
        <f>ROUND('ТИП-ПРОИЗ'!E53*'ТИП-ПРОИЗ'!E89/1000,3)</f>
        <v>0</v>
      </c>
      <c r="E73" s="126"/>
      <c r="F73" s="126">
        <f t="shared" si="6"/>
        <v>0</v>
      </c>
      <c r="G73" s="126">
        <f>ROUND('ТИП-ПРОИЗ'!F53*'ТИП-ПРОИЗ'!F89/1000,3)</f>
        <v>0</v>
      </c>
      <c r="H73" s="126"/>
      <c r="I73" s="194">
        <f t="shared" si="7"/>
        <v>0</v>
      </c>
    </row>
    <row r="74" spans="1:9">
      <c r="A74" s="210" t="s">
        <v>732</v>
      </c>
      <c r="B74" s="213" t="str">
        <f>'ТИП-ПРОИЗ'!B54</f>
        <v>друг вид гориво (ВЕИ)</v>
      </c>
      <c r="C74" s="199" t="s">
        <v>3</v>
      </c>
      <c r="D74" s="126">
        <f>ROUND('ТИП-ПРОИЗ'!E54*'ТИП-ПРОИЗ'!E90/1000,3)</f>
        <v>0</v>
      </c>
      <c r="E74" s="126"/>
      <c r="F74" s="126">
        <f t="shared" si="6"/>
        <v>0</v>
      </c>
      <c r="G74" s="126">
        <f>ROUND('ТИП-ПРОИЗ'!F54*'ТИП-ПРОИЗ'!F90/1000,3)</f>
        <v>0</v>
      </c>
      <c r="H74" s="126"/>
      <c r="I74" s="194">
        <f t="shared" si="7"/>
        <v>0</v>
      </c>
    </row>
    <row r="75" spans="1:9">
      <c r="A75" s="210" t="s">
        <v>101</v>
      </c>
      <c r="B75" s="215" t="s">
        <v>13</v>
      </c>
      <c r="C75" s="199" t="s">
        <v>3</v>
      </c>
      <c r="D75" s="84">
        <v>30</v>
      </c>
      <c r="E75" s="66"/>
      <c r="F75" s="126">
        <f t="shared" si="2"/>
        <v>30</v>
      </c>
      <c r="G75" s="696">
        <v>30</v>
      </c>
      <c r="H75" s="66"/>
      <c r="I75" s="194">
        <f t="shared" ref="I75:I85" si="8">SUM(G75:H75)</f>
        <v>30</v>
      </c>
    </row>
    <row r="76" spans="1:9">
      <c r="A76" s="210" t="s">
        <v>102</v>
      </c>
      <c r="B76" s="215" t="s">
        <v>316</v>
      </c>
      <c r="C76" s="199" t="s">
        <v>3</v>
      </c>
      <c r="D76" s="84">
        <v>20</v>
      </c>
      <c r="E76" s="66"/>
      <c r="F76" s="126">
        <f t="shared" si="2"/>
        <v>20</v>
      </c>
      <c r="G76" s="696">
        <v>20</v>
      </c>
      <c r="H76" s="66"/>
      <c r="I76" s="194">
        <f t="shared" si="8"/>
        <v>20</v>
      </c>
    </row>
    <row r="77" spans="1:9">
      <c r="A77" s="210" t="s">
        <v>530</v>
      </c>
      <c r="B77" s="215" t="s">
        <v>131</v>
      </c>
      <c r="C77" s="199" t="s">
        <v>3</v>
      </c>
      <c r="D77" s="84">
        <v>30</v>
      </c>
      <c r="E77" s="66"/>
      <c r="F77" s="126">
        <f t="shared" si="2"/>
        <v>30</v>
      </c>
      <c r="G77" s="696">
        <v>30</v>
      </c>
      <c r="H77" s="66"/>
      <c r="I77" s="194">
        <f t="shared" si="8"/>
        <v>30</v>
      </c>
    </row>
    <row r="78" spans="1:9">
      <c r="A78" s="216">
        <v>2</v>
      </c>
      <c r="B78" s="215" t="s">
        <v>100</v>
      </c>
      <c r="C78" s="199" t="s">
        <v>3</v>
      </c>
      <c r="D78" s="66">
        <v>20</v>
      </c>
      <c r="E78" s="66"/>
      <c r="F78" s="126">
        <f t="shared" si="2"/>
        <v>20</v>
      </c>
      <c r="G78" s="697">
        <v>20</v>
      </c>
      <c r="H78" s="66"/>
      <c r="I78" s="194">
        <f t="shared" si="8"/>
        <v>20</v>
      </c>
    </row>
    <row r="79" spans="1:9">
      <c r="A79" s="217" t="s">
        <v>438</v>
      </c>
      <c r="B79" s="218" t="s">
        <v>533</v>
      </c>
      <c r="C79" s="219" t="s">
        <v>3</v>
      </c>
      <c r="D79" s="220">
        <f>SUM(D80,D81)</f>
        <v>62.097999999999999</v>
      </c>
      <c r="E79" s="221"/>
      <c r="F79" s="222">
        <f t="shared" ref="F79:F85" si="9">SUM(D79:E79)</f>
        <v>62.097999999999999</v>
      </c>
      <c r="G79" s="220">
        <v>74</v>
      </c>
      <c r="H79" s="221"/>
      <c r="I79" s="223">
        <f>SUM(G79:H79)</f>
        <v>74</v>
      </c>
    </row>
    <row r="80" spans="1:9">
      <c r="A80" s="224" t="s">
        <v>267</v>
      </c>
      <c r="B80" s="213" t="s">
        <v>531</v>
      </c>
      <c r="C80" s="199" t="s">
        <v>3</v>
      </c>
      <c r="D80" s="126">
        <f>ROUND('ТИП-ПРОИЗ'!E38*'ТИП-ПРОИЗ'!$B38/1000,3)</f>
        <v>62.097999999999999</v>
      </c>
      <c r="E80" s="126"/>
      <c r="F80" s="126">
        <f t="shared" si="9"/>
        <v>62.097999999999999</v>
      </c>
      <c r="G80" s="126">
        <v>74</v>
      </c>
      <c r="H80" s="126"/>
      <c r="I80" s="194">
        <f>SUM(G80:H80)</f>
        <v>74</v>
      </c>
    </row>
    <row r="81" spans="1:9">
      <c r="A81" s="224" t="s">
        <v>268</v>
      </c>
      <c r="B81" s="213" t="s">
        <v>532</v>
      </c>
      <c r="C81" s="199" t="s">
        <v>3</v>
      </c>
      <c r="D81" s="126">
        <f>ROUND('ТИП-ПРОИЗ'!E55*'ТИП-ПРОИЗ'!$B55/1000,3)</f>
        <v>0</v>
      </c>
      <c r="E81" s="126"/>
      <c r="F81" s="126">
        <f t="shared" si="9"/>
        <v>0</v>
      </c>
      <c r="G81" s="126">
        <f>ROUND('ТИП-ПРОИЗ'!F55*'ТИП-ПРОИЗ'!$B55/1000,3)</f>
        <v>0</v>
      </c>
      <c r="H81" s="126"/>
      <c r="I81" s="194">
        <f>SUM(G81:H81)</f>
        <v>0</v>
      </c>
    </row>
    <row r="82" spans="1:9" ht="25.5">
      <c r="A82" s="210" t="s">
        <v>439</v>
      </c>
      <c r="B82" s="225" t="s">
        <v>534</v>
      </c>
      <c r="C82" s="199" t="s">
        <v>3</v>
      </c>
      <c r="D82" s="220">
        <f>SUM(D83:D84)</f>
        <v>0</v>
      </c>
      <c r="E82" s="221"/>
      <c r="F82" s="222">
        <f t="shared" si="9"/>
        <v>0</v>
      </c>
      <c r="G82" s="220">
        <f>SUM(G83:G84)</f>
        <v>0</v>
      </c>
      <c r="H82" s="221"/>
      <c r="I82" s="223">
        <f>SUM(G82:H82)</f>
        <v>0</v>
      </c>
    </row>
    <row r="83" spans="1:9" ht="25.5">
      <c r="A83" s="210" t="s">
        <v>257</v>
      </c>
      <c r="B83" s="225" t="s">
        <v>537</v>
      </c>
      <c r="C83" s="199" t="s">
        <v>3</v>
      </c>
      <c r="D83" s="220">
        <f>'ТИП-ПРОИЗ'!$B39*'ТИП-ПРОИЗ'!E39/1000</f>
        <v>0</v>
      </c>
      <c r="F83" s="221"/>
      <c r="G83" s="220">
        <f>'ТИП-ПРОИЗ'!$B39*'ТИП-ПРОИЗ'!F39/1000</f>
        <v>0</v>
      </c>
      <c r="H83" s="221"/>
      <c r="I83" s="223">
        <f>SUM(G83:H83)</f>
        <v>0</v>
      </c>
    </row>
    <row r="84" spans="1:9" ht="25.5">
      <c r="A84" s="210" t="s">
        <v>258</v>
      </c>
      <c r="B84" s="225" t="s">
        <v>538</v>
      </c>
      <c r="C84" s="199" t="s">
        <v>3</v>
      </c>
      <c r="D84" s="220">
        <f>'ТИП-ПРОИЗ'!$B56*'ТИП-ПРОИЗ'!E56/1000</f>
        <v>0</v>
      </c>
      <c r="E84" s="221"/>
      <c r="F84" s="222">
        <f t="shared" si="9"/>
        <v>0</v>
      </c>
      <c r="G84" s="220">
        <f>'ТИП-ПРОИЗ'!$B56*'ТИП-ПРОИЗ'!F56/1000</f>
        <v>0</v>
      </c>
      <c r="H84" s="221"/>
      <c r="I84" s="223">
        <f t="shared" si="8"/>
        <v>0</v>
      </c>
    </row>
    <row r="85" spans="1:9" ht="26.25" thickBot="1">
      <c r="A85" s="226" t="s">
        <v>440</v>
      </c>
      <c r="B85" s="227" t="s">
        <v>437</v>
      </c>
      <c r="C85" s="228" t="s">
        <v>3</v>
      </c>
      <c r="D85" s="229">
        <f>'ТИП-ПРОИЗ'!E98*'ТИП-ПРОИЗ'!E100/1000</f>
        <v>0</v>
      </c>
      <c r="E85" s="230"/>
      <c r="F85" s="229">
        <f t="shared" si="9"/>
        <v>0</v>
      </c>
      <c r="G85" s="698"/>
      <c r="H85" s="230"/>
      <c r="I85" s="231">
        <f t="shared" si="8"/>
        <v>0</v>
      </c>
    </row>
    <row r="86" spans="1:9" ht="13.5" thickTop="1"/>
    <row r="87" spans="1:9">
      <c r="A87" s="232" t="s">
        <v>128</v>
      </c>
      <c r="B87" s="233"/>
      <c r="C87" s="234"/>
      <c r="D87" s="235"/>
      <c r="E87" s="235"/>
      <c r="F87" s="236"/>
      <c r="G87" s="236"/>
      <c r="H87" s="236"/>
      <c r="I87" s="236"/>
    </row>
    <row r="88" spans="1:9">
      <c r="A88" s="137" t="s">
        <v>129</v>
      </c>
    </row>
    <row r="89" spans="1:9">
      <c r="A89" s="137" t="s">
        <v>130</v>
      </c>
    </row>
    <row r="90" spans="1:9"/>
    <row r="91" spans="1:9">
      <c r="A91" s="137" t="s">
        <v>260</v>
      </c>
      <c r="E91" s="237" t="s">
        <v>259</v>
      </c>
    </row>
    <row r="92" spans="1:9"/>
    <row r="93" spans="1:9">
      <c r="B93" s="238" t="s">
        <v>774</v>
      </c>
      <c r="F93" s="705" t="s">
        <v>775</v>
      </c>
      <c r="G93" s="705"/>
      <c r="H93" s="705"/>
      <c r="I93" s="705"/>
    </row>
    <row r="94" spans="1:9"/>
    <row r="95" spans="1:9" hidden="1"/>
    <row r="96" spans="1:9" hidden="1">
      <c r="A96" s="239"/>
      <c r="B96" s="240"/>
      <c r="C96" s="239"/>
      <c r="D96" s="239"/>
      <c r="E96" s="239"/>
      <c r="F96" s="239"/>
      <c r="G96" s="239"/>
      <c r="H96" s="239"/>
      <c r="I96" s="239"/>
    </row>
    <row r="97" spans="1:9" hidden="1">
      <c r="A97" s="239"/>
      <c r="B97" s="240"/>
      <c r="C97" s="239"/>
      <c r="D97" s="239"/>
      <c r="E97" s="239"/>
      <c r="F97" s="239"/>
      <c r="G97" s="239"/>
      <c r="H97" s="239"/>
      <c r="I97" s="239"/>
    </row>
    <row r="98" spans="1:9" hidden="1"/>
    <row r="99" spans="1:9" hidden="1"/>
    <row r="100" spans="1:9" hidden="1">
      <c r="B100" s="241"/>
    </row>
    <row r="101" spans="1:9" hidden="1">
      <c r="B101" s="111"/>
    </row>
    <row r="102" spans="1:9" hidden="1"/>
    <row r="103" spans="1:9" hidden="1"/>
    <row r="104" spans="1:9" hidden="1"/>
    <row r="105" spans="1:9" hidden="1"/>
    <row r="106" spans="1:9" hidden="1"/>
    <row r="107" spans="1:9" hidden="1"/>
    <row r="108" spans="1:9" hidden="1"/>
    <row r="109" spans="1:9" hidden="1"/>
    <row r="110" spans="1:9" hidden="1"/>
    <row r="111" spans="1:9" hidden="1"/>
    <row r="112" spans="1:9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</sheetData>
  <mergeCells count="9">
    <mergeCell ref="A5:A6"/>
    <mergeCell ref="B5:B6"/>
    <mergeCell ref="C5:C6"/>
    <mergeCell ref="D5:F5"/>
    <mergeCell ref="F93:I93"/>
    <mergeCell ref="B1:C1"/>
    <mergeCell ref="B2:C2"/>
    <mergeCell ref="B3:C3"/>
    <mergeCell ref="G5:I5"/>
  </mergeCells>
  <phoneticPr fontId="0" type="noConversion"/>
  <printOptions horizontalCentered="1" verticalCentered="1"/>
  <pageMargins left="0.94488188976377963" right="0.15748031496062992" top="0.59055118110236227" bottom="0.19685039370078741" header="0.35433070866141736" footer="0.19685039370078741"/>
  <pageSetup paperSize="9" scale="58" orientation="portrait" blackAndWhite="1" r:id="rId1"/>
  <headerFooter alignWithMargins="0">
    <oddHeader>&amp;RПриложение №2</oddHeader>
  </headerFooter>
  <ignoredErrors>
    <ignoredError sqref="F22:F32 F63 F12 F19:F20 I24 I27 I8:I13" formula="1"/>
    <ignoredError sqref="A58:A63 A85" numberStoredAsText="1"/>
    <ignoredError sqref="D8:E8 D10:E10" evalError="1"/>
    <ignoredError sqref="F8:F11 F17:F18 F61 F13:F15" evalError="1" formula="1"/>
    <ignoredError sqref="F62" evalError="1" formula="1" formulaRange="1"/>
    <ignoredError sqref="E27" formulaRange="1"/>
    <ignoredError sqref="A64:A67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159"/>
  <sheetViews>
    <sheetView showGridLines="0" showZeros="0" topLeftCell="B73" zoomScale="130" zoomScaleNormal="130" workbookViewId="0">
      <selection activeCell="E14" sqref="E14:F14"/>
    </sheetView>
  </sheetViews>
  <sheetFormatPr defaultColWidth="0" defaultRowHeight="12.75" customHeight="1" zeroHeight="1"/>
  <cols>
    <col min="1" max="1" width="3.5703125" style="20" bestFit="1" customWidth="1"/>
    <col min="2" max="2" width="40.7109375" style="35" customWidth="1"/>
    <col min="3" max="3" width="7.5703125" style="1" bestFit="1" customWidth="1"/>
    <col min="4" max="6" width="7.7109375" style="20" customWidth="1"/>
    <col min="7" max="9" width="7.7109375" style="2" customWidth="1"/>
    <col min="10" max="10" width="9.140625" style="2" customWidth="1"/>
    <col min="11" max="36" width="0" style="2" hidden="1" customWidth="1"/>
    <col min="37" max="16384" width="0" style="3" hidden="1"/>
  </cols>
  <sheetData>
    <row r="1" spans="1:9" s="3" customFormat="1">
      <c r="A1" s="24"/>
      <c r="B1" s="724" t="s">
        <v>176</v>
      </c>
      <c r="C1" s="724"/>
      <c r="D1" s="24"/>
      <c r="E1" s="24"/>
      <c r="F1" s="24"/>
      <c r="G1" s="24"/>
      <c r="H1" s="24"/>
      <c r="I1" s="62" t="s">
        <v>692</v>
      </c>
    </row>
    <row r="2" spans="1:9" s="3" customFormat="1">
      <c r="A2" s="24"/>
      <c r="B2" s="731" t="s">
        <v>773</v>
      </c>
      <c r="C2" s="731"/>
      <c r="D2" s="24"/>
      <c r="E2" s="24"/>
      <c r="F2" s="24"/>
      <c r="G2" s="24"/>
      <c r="H2" s="24"/>
      <c r="I2" s="24"/>
    </row>
    <row r="3" spans="1:9" s="3" customFormat="1" ht="13.5" thickBot="1">
      <c r="A3" s="25"/>
      <c r="B3" s="14"/>
      <c r="C3" s="14"/>
      <c r="D3" s="14"/>
      <c r="E3" s="14"/>
      <c r="F3" s="14"/>
      <c r="G3" s="14"/>
      <c r="H3" s="14"/>
      <c r="I3" s="14"/>
    </row>
    <row r="4" spans="1:9" s="3" customFormat="1" ht="34.5" customHeight="1" thickTop="1">
      <c r="A4" s="740" t="s">
        <v>0</v>
      </c>
      <c r="B4" s="742" t="s">
        <v>132</v>
      </c>
      <c r="C4" s="744" t="s">
        <v>2</v>
      </c>
      <c r="D4" s="746" t="s">
        <v>782</v>
      </c>
      <c r="E4" s="746"/>
      <c r="F4" s="746"/>
      <c r="G4" s="747" t="s">
        <v>781</v>
      </c>
      <c r="H4" s="747"/>
      <c r="I4" s="748"/>
    </row>
    <row r="5" spans="1:9" s="3" customFormat="1" ht="35.25" customHeight="1">
      <c r="A5" s="741"/>
      <c r="B5" s="743"/>
      <c r="C5" s="745"/>
      <c r="D5" s="26" t="s">
        <v>150</v>
      </c>
      <c r="E5" s="749" t="s">
        <v>148</v>
      </c>
      <c r="F5" s="749"/>
      <c r="G5" s="26" t="s">
        <v>150</v>
      </c>
      <c r="H5" s="749" t="s">
        <v>148</v>
      </c>
      <c r="I5" s="750"/>
    </row>
    <row r="6" spans="1:9" s="3" customFormat="1" ht="21">
      <c r="A6" s="27" t="s">
        <v>133</v>
      </c>
      <c r="B6" s="39" t="s">
        <v>149</v>
      </c>
      <c r="C6" s="12" t="s">
        <v>3</v>
      </c>
      <c r="D6" s="28">
        <f>SUM(D7,D14)</f>
        <v>2516</v>
      </c>
      <c r="E6" s="730">
        <f>SUM(E7,E14)</f>
        <v>0</v>
      </c>
      <c r="F6" s="730"/>
      <c r="G6" s="28">
        <f>SUM(G7,G14)</f>
        <v>2516</v>
      </c>
      <c r="H6" s="730">
        <f>SUM(H7,H14)</f>
        <v>0</v>
      </c>
      <c r="I6" s="732"/>
    </row>
    <row r="7" spans="1:9" s="3" customFormat="1">
      <c r="A7" s="27" t="s">
        <v>134</v>
      </c>
      <c r="B7" s="7" t="s">
        <v>141</v>
      </c>
      <c r="C7" s="12" t="s">
        <v>3</v>
      </c>
      <c r="D7" s="29">
        <f>SUM(D8:D13)</f>
        <v>2516</v>
      </c>
      <c r="E7" s="728">
        <f>SUM(E8:F13)</f>
        <v>0</v>
      </c>
      <c r="F7" s="728"/>
      <c r="G7" s="29">
        <f>SUM(G8:G13)</f>
        <v>2516</v>
      </c>
      <c r="H7" s="728">
        <f>SUM(H8:I13)</f>
        <v>0</v>
      </c>
      <c r="I7" s="729"/>
    </row>
    <row r="8" spans="1:9" s="3" customFormat="1">
      <c r="A8" s="27"/>
      <c r="B8" s="8" t="s">
        <v>135</v>
      </c>
      <c r="C8" s="12" t="s">
        <v>3</v>
      </c>
      <c r="D8" s="105">
        <v>78</v>
      </c>
      <c r="E8" s="725"/>
      <c r="F8" s="726"/>
      <c r="G8" s="30">
        <v>78</v>
      </c>
      <c r="H8" s="725"/>
      <c r="I8" s="727"/>
    </row>
    <row r="9" spans="1:9" s="3" customFormat="1">
      <c r="A9" s="27"/>
      <c r="B9" s="8" t="s">
        <v>136</v>
      </c>
      <c r="C9" s="12" t="s">
        <v>3</v>
      </c>
      <c r="D9" s="105">
        <v>348</v>
      </c>
      <c r="E9" s="725"/>
      <c r="F9" s="726"/>
      <c r="G9" s="30">
        <v>348</v>
      </c>
      <c r="H9" s="725"/>
      <c r="I9" s="727"/>
    </row>
    <row r="10" spans="1:9" s="3" customFormat="1">
      <c r="A10" s="27"/>
      <c r="B10" s="8" t="s">
        <v>137</v>
      </c>
      <c r="C10" s="12" t="s">
        <v>3</v>
      </c>
      <c r="D10" s="105">
        <v>2041</v>
      </c>
      <c r="E10" s="725"/>
      <c r="F10" s="726"/>
      <c r="G10" s="686">
        <v>2041</v>
      </c>
      <c r="H10" s="725"/>
      <c r="I10" s="727"/>
    </row>
    <row r="11" spans="1:9" s="3" customFormat="1">
      <c r="A11" s="27"/>
      <c r="B11" s="8" t="s">
        <v>138</v>
      </c>
      <c r="C11" s="12" t="s">
        <v>3</v>
      </c>
      <c r="D11" s="105">
        <v>49</v>
      </c>
      <c r="E11" s="725"/>
      <c r="F11" s="726"/>
      <c r="G11" s="30">
        <v>49</v>
      </c>
      <c r="H11" s="725"/>
      <c r="I11" s="727"/>
    </row>
    <row r="12" spans="1:9" s="3" customFormat="1">
      <c r="A12" s="27"/>
      <c r="B12" s="8" t="s">
        <v>139</v>
      </c>
      <c r="C12" s="12" t="s">
        <v>3</v>
      </c>
      <c r="D12" s="105"/>
      <c r="E12" s="725"/>
      <c r="F12" s="726"/>
      <c r="G12" s="30"/>
      <c r="H12" s="725"/>
      <c r="I12" s="727"/>
    </row>
    <row r="13" spans="1:9" s="3" customFormat="1">
      <c r="A13" s="27"/>
      <c r="B13" s="8" t="s">
        <v>140</v>
      </c>
      <c r="C13" s="12" t="s">
        <v>3</v>
      </c>
      <c r="D13" s="105"/>
      <c r="E13" s="725"/>
      <c r="F13" s="726"/>
      <c r="G13" s="30"/>
      <c r="H13" s="725"/>
      <c r="I13" s="727"/>
    </row>
    <row r="14" spans="1:9" s="3" customFormat="1">
      <c r="A14" s="27" t="s">
        <v>142</v>
      </c>
      <c r="B14" s="7" t="s">
        <v>174</v>
      </c>
      <c r="C14" s="12" t="s">
        <v>3</v>
      </c>
      <c r="D14" s="105"/>
      <c r="E14" s="725"/>
      <c r="F14" s="726"/>
      <c r="G14" s="30"/>
      <c r="H14" s="725"/>
      <c r="I14" s="727"/>
    </row>
    <row r="15" spans="1:9" s="3" customFormat="1">
      <c r="A15" s="27" t="s">
        <v>143</v>
      </c>
      <c r="B15" s="13" t="s">
        <v>153</v>
      </c>
      <c r="C15" s="12" t="s">
        <v>3</v>
      </c>
      <c r="D15" s="105"/>
      <c r="E15" s="725"/>
      <c r="F15" s="726"/>
      <c r="G15" s="30"/>
      <c r="H15" s="725"/>
      <c r="I15" s="727"/>
    </row>
    <row r="16" spans="1:9" s="3" customFormat="1">
      <c r="A16" s="27" t="s">
        <v>177</v>
      </c>
      <c r="B16" s="31" t="s">
        <v>147</v>
      </c>
      <c r="C16" s="12" t="s">
        <v>3</v>
      </c>
      <c r="D16" s="733">
        <v>260</v>
      </c>
      <c r="E16" s="734"/>
      <c r="F16" s="735"/>
      <c r="G16" s="736">
        <f>Разходи!J10</f>
        <v>0</v>
      </c>
      <c r="H16" s="737"/>
      <c r="I16" s="738"/>
    </row>
    <row r="17" spans="1:36" ht="13.5" thickBot="1">
      <c r="A17" s="32" t="s">
        <v>178</v>
      </c>
      <c r="B17" s="40" t="s">
        <v>146</v>
      </c>
      <c r="C17" s="43" t="s">
        <v>3</v>
      </c>
      <c r="D17" s="722">
        <f>SUM(D6,D16)-SUM(D15,E6)</f>
        <v>2776</v>
      </c>
      <c r="E17" s="722"/>
      <c r="F17" s="722"/>
      <c r="G17" s="722">
        <f>SUM(G6,G16)-SUM(G15,H6)</f>
        <v>2516</v>
      </c>
      <c r="H17" s="722"/>
      <c r="I17" s="72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13.5" thickTop="1">
      <c r="A18" s="25"/>
      <c r="B18" s="73"/>
      <c r="C18" s="63"/>
      <c r="D18" s="74"/>
      <c r="E18" s="74"/>
      <c r="F18" s="74"/>
      <c r="G18" s="74"/>
      <c r="H18" s="74"/>
      <c r="I18" s="74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>
      <c r="A19" s="25"/>
      <c r="B19" s="33"/>
      <c r="C19" s="14"/>
      <c r="D19" s="14"/>
      <c r="E19" s="14"/>
      <c r="F19" s="14"/>
      <c r="G19" s="14"/>
      <c r="H19" s="14"/>
      <c r="I19" s="1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>
      <c r="A20" s="739">
        <f>IF(G17=0,0,D35/G17)</f>
        <v>0.93879173290938001</v>
      </c>
      <c r="B20" s="739"/>
      <c r="C20" s="739"/>
      <c r="D20" s="739"/>
      <c r="E20" s="739"/>
      <c r="F20" s="739"/>
      <c r="G20" s="739"/>
      <c r="H20" s="739"/>
      <c r="I20" s="739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13.5" thickBot="1">
      <c r="A21" s="25"/>
      <c r="B21" s="33"/>
      <c r="C21" s="14"/>
      <c r="D21" s="14"/>
      <c r="E21" s="34"/>
      <c r="F21" s="14"/>
      <c r="G21" s="14"/>
      <c r="H21" s="34"/>
      <c r="I21" s="1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13.5" thickTop="1">
      <c r="A22" s="740" t="s">
        <v>0</v>
      </c>
      <c r="B22" s="742" t="s">
        <v>132</v>
      </c>
      <c r="C22" s="744" t="s">
        <v>2</v>
      </c>
      <c r="D22" s="751" t="s">
        <v>289</v>
      </c>
      <c r="E22" s="751"/>
      <c r="F22" s="751"/>
      <c r="G22" s="752" t="s">
        <v>85</v>
      </c>
      <c r="H22" s="752"/>
      <c r="I22" s="75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33" customHeight="1">
      <c r="A23" s="741"/>
      <c r="B23" s="743"/>
      <c r="C23" s="745"/>
      <c r="D23" s="26" t="s">
        <v>150</v>
      </c>
      <c r="E23" s="749" t="s">
        <v>148</v>
      </c>
      <c r="F23" s="749"/>
      <c r="G23" s="26" t="s">
        <v>150</v>
      </c>
      <c r="H23" s="749" t="s">
        <v>148</v>
      </c>
      <c r="I23" s="750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21">
      <c r="A24" s="27" t="s">
        <v>133</v>
      </c>
      <c r="B24" s="39" t="s">
        <v>149</v>
      </c>
      <c r="C24" s="12" t="s">
        <v>3</v>
      </c>
      <c r="D24" s="28">
        <f>SUM(D25,D32)</f>
        <v>2515</v>
      </c>
      <c r="E24" s="730">
        <f>SUM(E25,E32)</f>
        <v>153</v>
      </c>
      <c r="F24" s="730"/>
      <c r="G24" s="28">
        <f>SUM(G25,G32)</f>
        <v>0</v>
      </c>
      <c r="H24" s="730">
        <f>SUM(H25,H32)</f>
        <v>0</v>
      </c>
      <c r="I24" s="732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>
      <c r="A25" s="27" t="s">
        <v>134</v>
      </c>
      <c r="B25" s="7" t="s">
        <v>141</v>
      </c>
      <c r="C25" s="12" t="s">
        <v>3</v>
      </c>
      <c r="D25" s="29">
        <f>SUM(D26:D31)</f>
        <v>2515</v>
      </c>
      <c r="E25" s="728">
        <f>SUM(E26:F31)</f>
        <v>153</v>
      </c>
      <c r="F25" s="728"/>
      <c r="G25" s="29">
        <f>SUM(G26:G31)</f>
        <v>0</v>
      </c>
      <c r="H25" s="728">
        <f>SUM(H26:I31)</f>
        <v>0</v>
      </c>
      <c r="I25" s="729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>
      <c r="A26" s="27"/>
      <c r="B26" s="8" t="s">
        <v>135</v>
      </c>
      <c r="C26" s="12" t="s">
        <v>3</v>
      </c>
      <c r="D26" s="53">
        <v>77</v>
      </c>
      <c r="E26" s="718">
        <f t="shared" ref="D26:E33" si="0">SUM(H8,-H26)</f>
        <v>0</v>
      </c>
      <c r="F26" s="718"/>
      <c r="G26" s="30"/>
      <c r="H26" s="716"/>
      <c r="I26" s="717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>
      <c r="A27" s="27"/>
      <c r="B27" s="8" t="s">
        <v>136</v>
      </c>
      <c r="C27" s="12" t="s">
        <v>3</v>
      </c>
      <c r="D27" s="53">
        <v>348</v>
      </c>
      <c r="E27" s="718">
        <v>14</v>
      </c>
      <c r="F27" s="718"/>
      <c r="G27" s="30"/>
      <c r="H27" s="716"/>
      <c r="I27" s="717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>
      <c r="A28" s="27"/>
      <c r="B28" s="8" t="s">
        <v>137</v>
      </c>
      <c r="C28" s="12" t="s">
        <v>3</v>
      </c>
      <c r="D28" s="53">
        <f t="shared" si="0"/>
        <v>2041</v>
      </c>
      <c r="E28" s="718">
        <v>136</v>
      </c>
      <c r="F28" s="718"/>
      <c r="G28" s="44"/>
      <c r="H28" s="716"/>
      <c r="I28" s="717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>
      <c r="A29" s="27"/>
      <c r="B29" s="8" t="s">
        <v>138</v>
      </c>
      <c r="C29" s="12" t="s">
        <v>3</v>
      </c>
      <c r="D29" s="53">
        <f t="shared" si="0"/>
        <v>49</v>
      </c>
      <c r="E29" s="718">
        <v>3</v>
      </c>
      <c r="F29" s="718"/>
      <c r="G29" s="30"/>
      <c r="H29" s="716"/>
      <c r="I29" s="717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>
      <c r="A30" s="27"/>
      <c r="B30" s="8" t="s">
        <v>139</v>
      </c>
      <c r="C30" s="12" t="s">
        <v>3</v>
      </c>
      <c r="D30" s="53"/>
      <c r="E30" s="718">
        <f t="shared" si="0"/>
        <v>0</v>
      </c>
      <c r="F30" s="718"/>
      <c r="G30" s="30"/>
      <c r="H30" s="716"/>
      <c r="I30" s="717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>
      <c r="A31" s="27"/>
      <c r="B31" s="8" t="s">
        <v>140</v>
      </c>
      <c r="C31" s="12" t="s">
        <v>3</v>
      </c>
      <c r="D31" s="53">
        <f t="shared" si="0"/>
        <v>0</v>
      </c>
      <c r="E31" s="718">
        <f t="shared" si="0"/>
        <v>0</v>
      </c>
      <c r="F31" s="718"/>
      <c r="G31" s="30"/>
      <c r="H31" s="716"/>
      <c r="I31" s="717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>
      <c r="A32" s="27" t="s">
        <v>142</v>
      </c>
      <c r="B32" s="7" t="s">
        <v>174</v>
      </c>
      <c r="C32" s="12" t="s">
        <v>3</v>
      </c>
      <c r="D32" s="53">
        <f t="shared" si="0"/>
        <v>0</v>
      </c>
      <c r="E32" s="718">
        <f t="shared" si="0"/>
        <v>0</v>
      </c>
      <c r="F32" s="718"/>
      <c r="G32" s="44"/>
      <c r="H32" s="716"/>
      <c r="I32" s="717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>
      <c r="A33" s="27" t="s">
        <v>143</v>
      </c>
      <c r="B33" s="13" t="s">
        <v>153</v>
      </c>
      <c r="C33" s="12" t="s">
        <v>3</v>
      </c>
      <c r="D33" s="53">
        <f t="shared" si="0"/>
        <v>0</v>
      </c>
      <c r="E33" s="718">
        <f t="shared" si="0"/>
        <v>0</v>
      </c>
      <c r="F33" s="718"/>
      <c r="G33" s="30"/>
      <c r="H33" s="716"/>
      <c r="I33" s="717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>
      <c r="A34" s="27" t="s">
        <v>177</v>
      </c>
      <c r="B34" s="31" t="s">
        <v>147</v>
      </c>
      <c r="C34" s="12" t="s">
        <v>3</v>
      </c>
      <c r="D34" s="719">
        <f>SUM(G16,-G34)</f>
        <v>0</v>
      </c>
      <c r="E34" s="719"/>
      <c r="F34" s="719"/>
      <c r="G34" s="720"/>
      <c r="H34" s="720"/>
      <c r="I34" s="721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3.5" thickBot="1">
      <c r="A35" s="32" t="s">
        <v>178</v>
      </c>
      <c r="B35" s="40" t="s">
        <v>146</v>
      </c>
      <c r="C35" s="43" t="s">
        <v>3</v>
      </c>
      <c r="D35" s="722">
        <f>SUM(D24,D34)-SUM(D33,E24)</f>
        <v>2362</v>
      </c>
      <c r="E35" s="722"/>
      <c r="F35" s="722"/>
      <c r="G35" s="722">
        <f>SUM(G24,G34)-SUM(G33,H24)</f>
        <v>0</v>
      </c>
      <c r="H35" s="722"/>
      <c r="I35" s="72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3.5" thickTop="1">
      <c r="A36" s="25"/>
      <c r="B36" s="73"/>
      <c r="C36" s="63"/>
      <c r="D36" s="74"/>
      <c r="E36" s="74"/>
      <c r="F36" s="74"/>
      <c r="G36" s="74"/>
      <c r="H36" s="74"/>
      <c r="I36" s="74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>
      <c r="A37" s="25"/>
      <c r="B37" s="33"/>
      <c r="C37" s="14"/>
      <c r="D37" s="14"/>
      <c r="E37" s="14"/>
      <c r="F37" s="14"/>
      <c r="G37" s="14"/>
      <c r="H37" s="33"/>
      <c r="I37" s="1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>
      <c r="A38" s="754">
        <f>IF(D35=0,0,D53/D35)</f>
        <v>1</v>
      </c>
      <c r="B38" s="754"/>
      <c r="C38" s="754"/>
      <c r="D38" s="754"/>
      <c r="E38" s="754"/>
      <c r="F38" s="754"/>
      <c r="G38" s="754"/>
      <c r="H38" s="754"/>
      <c r="I38" s="754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13.5" thickBot="1">
      <c r="A39" s="25"/>
      <c r="B39" s="33"/>
      <c r="C39" s="14"/>
      <c r="D39" s="14"/>
      <c r="E39" s="34"/>
      <c r="F39" s="14"/>
      <c r="G39" s="14"/>
      <c r="H39" s="34"/>
      <c r="I39" s="1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13.5" thickTop="1">
      <c r="A40" s="740" t="s">
        <v>0</v>
      </c>
      <c r="B40" s="742" t="s">
        <v>132</v>
      </c>
      <c r="C40" s="744" t="s">
        <v>2</v>
      </c>
      <c r="D40" s="751" t="s">
        <v>393</v>
      </c>
      <c r="E40" s="751"/>
      <c r="F40" s="751"/>
      <c r="G40" s="752" t="s">
        <v>394</v>
      </c>
      <c r="H40" s="752"/>
      <c r="I40" s="75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" customHeight="1">
      <c r="A41" s="741"/>
      <c r="B41" s="743"/>
      <c r="C41" s="745"/>
      <c r="D41" s="26" t="s">
        <v>150</v>
      </c>
      <c r="E41" s="749" t="s">
        <v>148</v>
      </c>
      <c r="F41" s="749"/>
      <c r="G41" s="26" t="s">
        <v>150</v>
      </c>
      <c r="H41" s="749" t="s">
        <v>148</v>
      </c>
      <c r="I41" s="750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21">
      <c r="A42" s="27" t="s">
        <v>133</v>
      </c>
      <c r="B42" s="39" t="s">
        <v>149</v>
      </c>
      <c r="C42" s="12" t="s">
        <v>3</v>
      </c>
      <c r="D42" s="28">
        <f>SUM(D43,D50)</f>
        <v>2515</v>
      </c>
      <c r="E42" s="730">
        <f>SUM(E43,E50)</f>
        <v>153</v>
      </c>
      <c r="F42" s="730"/>
      <c r="G42" s="28">
        <f>SUM(G43,G50)</f>
        <v>0</v>
      </c>
      <c r="H42" s="730">
        <f>SUM(H43,H50)</f>
        <v>0</v>
      </c>
      <c r="I42" s="732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>
      <c r="A43" s="27" t="s">
        <v>134</v>
      </c>
      <c r="B43" s="7" t="s">
        <v>141</v>
      </c>
      <c r="C43" s="12" t="s">
        <v>3</v>
      </c>
      <c r="D43" s="29">
        <f>SUM(D44:D49)</f>
        <v>2515</v>
      </c>
      <c r="E43" s="728">
        <f>SUM(E44:F49)</f>
        <v>153</v>
      </c>
      <c r="F43" s="728"/>
      <c r="G43" s="29">
        <f>SUM(G44:G49)</f>
        <v>0</v>
      </c>
      <c r="H43" s="728">
        <f>SUM(H44:I49)</f>
        <v>0</v>
      </c>
      <c r="I43" s="729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>
      <c r="A44" s="27"/>
      <c r="B44" s="8" t="s">
        <v>135</v>
      </c>
      <c r="C44" s="12" t="s">
        <v>3</v>
      </c>
      <c r="D44" s="53">
        <f t="shared" ref="D44:E51" si="1">SUM(D26,-G44)</f>
        <v>77</v>
      </c>
      <c r="E44" s="718">
        <f t="shared" si="1"/>
        <v>0</v>
      </c>
      <c r="F44" s="718"/>
      <c r="G44" s="30"/>
      <c r="H44" s="716"/>
      <c r="I44" s="717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>
      <c r="A45" s="27"/>
      <c r="B45" s="8" t="s">
        <v>136</v>
      </c>
      <c r="C45" s="12" t="s">
        <v>3</v>
      </c>
      <c r="D45" s="53">
        <f t="shared" si="1"/>
        <v>348</v>
      </c>
      <c r="E45" s="718">
        <f t="shared" si="1"/>
        <v>14</v>
      </c>
      <c r="F45" s="718"/>
      <c r="G45" s="30"/>
      <c r="H45" s="716"/>
      <c r="I45" s="717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>
      <c r="A46" s="27"/>
      <c r="B46" s="8" t="s">
        <v>137</v>
      </c>
      <c r="C46" s="12" t="s">
        <v>3</v>
      </c>
      <c r="D46" s="53">
        <f t="shared" si="1"/>
        <v>2041</v>
      </c>
      <c r="E46" s="718">
        <v>136</v>
      </c>
      <c r="F46" s="718"/>
      <c r="G46" s="44"/>
      <c r="H46" s="716"/>
      <c r="I46" s="717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>
      <c r="A47" s="27"/>
      <c r="B47" s="8" t="s">
        <v>138</v>
      </c>
      <c r="C47" s="12" t="s">
        <v>3</v>
      </c>
      <c r="D47" s="53">
        <f t="shared" si="1"/>
        <v>49</v>
      </c>
      <c r="E47" s="718">
        <f t="shared" si="1"/>
        <v>3</v>
      </c>
      <c r="F47" s="718"/>
      <c r="G47" s="30"/>
      <c r="H47" s="716"/>
      <c r="I47" s="717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>
      <c r="A48" s="27"/>
      <c r="B48" s="8" t="s">
        <v>139</v>
      </c>
      <c r="C48" s="12" t="s">
        <v>3</v>
      </c>
      <c r="D48" s="53"/>
      <c r="E48" s="718">
        <f t="shared" si="1"/>
        <v>0</v>
      </c>
      <c r="F48" s="718"/>
      <c r="G48" s="30"/>
      <c r="H48" s="716"/>
      <c r="I48" s="717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>
      <c r="A49" s="27"/>
      <c r="B49" s="8" t="s">
        <v>140</v>
      </c>
      <c r="C49" s="12" t="s">
        <v>3</v>
      </c>
      <c r="D49" s="53">
        <f t="shared" si="1"/>
        <v>0</v>
      </c>
      <c r="E49" s="718">
        <f t="shared" si="1"/>
        <v>0</v>
      </c>
      <c r="F49" s="718"/>
      <c r="G49" s="30"/>
      <c r="H49" s="716"/>
      <c r="I49" s="717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>
      <c r="A50" s="27" t="s">
        <v>142</v>
      </c>
      <c r="B50" s="7" t="s">
        <v>174</v>
      </c>
      <c r="C50" s="12" t="s">
        <v>3</v>
      </c>
      <c r="D50" s="53">
        <f t="shared" si="1"/>
        <v>0</v>
      </c>
      <c r="E50" s="718">
        <f t="shared" si="1"/>
        <v>0</v>
      </c>
      <c r="F50" s="718"/>
      <c r="G50" s="44"/>
      <c r="H50" s="716"/>
      <c r="I50" s="717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>
      <c r="A51" s="27" t="s">
        <v>143</v>
      </c>
      <c r="B51" s="13" t="s">
        <v>153</v>
      </c>
      <c r="C51" s="12" t="s">
        <v>3</v>
      </c>
      <c r="D51" s="53">
        <f t="shared" si="1"/>
        <v>0</v>
      </c>
      <c r="E51" s="718">
        <f t="shared" si="1"/>
        <v>0</v>
      </c>
      <c r="F51" s="718"/>
      <c r="G51" s="30"/>
      <c r="H51" s="716"/>
      <c r="I51" s="717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>
      <c r="A52" s="27" t="s">
        <v>177</v>
      </c>
      <c r="B52" s="31" t="s">
        <v>147</v>
      </c>
      <c r="C52" s="12" t="s">
        <v>3</v>
      </c>
      <c r="D52" s="719">
        <f>SUM(D34,-G52)</f>
        <v>0</v>
      </c>
      <c r="E52" s="719"/>
      <c r="F52" s="719"/>
      <c r="G52" s="720"/>
      <c r="H52" s="720"/>
      <c r="I52" s="721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13.5" thickBot="1">
      <c r="A53" s="32" t="s">
        <v>178</v>
      </c>
      <c r="B53" s="40" t="s">
        <v>146</v>
      </c>
      <c r="C53" s="43" t="s">
        <v>3</v>
      </c>
      <c r="D53" s="722">
        <f>SUM(D42,D52)-SUM(D51,E42)</f>
        <v>2362</v>
      </c>
      <c r="E53" s="722"/>
      <c r="F53" s="722"/>
      <c r="G53" s="722">
        <f>SUM(G42,G52)-SUM(G51,H42)</f>
        <v>0</v>
      </c>
      <c r="H53" s="722"/>
      <c r="I53" s="72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13.5" thickTop="1">
      <c r="A54" s="25"/>
      <c r="B54" s="73"/>
      <c r="C54" s="63"/>
      <c r="D54" s="74"/>
      <c r="E54" s="74"/>
      <c r="F54" s="74"/>
      <c r="G54" s="74"/>
      <c r="H54" s="74"/>
      <c r="I54" s="74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>
      <c r="A55" s="25"/>
      <c r="B55" s="73"/>
      <c r="C55" s="63"/>
      <c r="D55" s="74"/>
      <c r="E55" s="74"/>
      <c r="F55" s="74"/>
      <c r="G55" s="74"/>
      <c r="H55" s="74"/>
      <c r="I55" s="74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>
      <c r="A56" s="25"/>
      <c r="B56" s="73"/>
      <c r="C56" s="63"/>
      <c r="D56" s="74"/>
      <c r="E56" s="74"/>
      <c r="F56" s="74"/>
      <c r="G56" s="74"/>
      <c r="H56" s="74"/>
      <c r="I56" s="74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>
      <c r="A57" s="25"/>
      <c r="B57" s="73"/>
      <c r="C57" s="63"/>
      <c r="D57" s="74"/>
      <c r="E57" s="74"/>
      <c r="F57" s="74"/>
      <c r="G57" s="74"/>
      <c r="H57" s="74"/>
      <c r="I57" s="74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>
      <c r="A58" s="25"/>
      <c r="B58" s="33"/>
      <c r="C58" s="14"/>
      <c r="D58" s="14"/>
      <c r="E58" s="14"/>
      <c r="F58" s="14"/>
      <c r="G58" s="14"/>
      <c r="H58" s="33"/>
      <c r="I58" s="1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>
      <c r="A59" s="761">
        <f>IF(G17=0,0,I69/G17)</f>
        <v>1.0202702702702702</v>
      </c>
      <c r="B59" s="761"/>
      <c r="C59" s="761"/>
      <c r="D59" s="761"/>
      <c r="E59" s="761"/>
      <c r="F59" s="761"/>
      <c r="G59" s="761"/>
      <c r="H59" s="761"/>
      <c r="I59" s="761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13.5" thickBot="1"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3.5" thickTop="1">
      <c r="A61" s="740" t="s">
        <v>0</v>
      </c>
      <c r="B61" s="742" t="s">
        <v>132</v>
      </c>
      <c r="C61" s="744" t="s">
        <v>2</v>
      </c>
      <c r="D61" s="762" t="str">
        <f>$D$4</f>
        <v>ОТЧЕТ към 31.12.2014 г.</v>
      </c>
      <c r="E61" s="762"/>
      <c r="F61" s="762"/>
      <c r="G61" s="763" t="str">
        <f>$G$4</f>
        <v>ОТЧЕТ към 28.02.2015 г.</v>
      </c>
      <c r="H61" s="763"/>
      <c r="I61" s="764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>
      <c r="A62" s="741"/>
      <c r="B62" s="743"/>
      <c r="C62" s="745"/>
      <c r="D62" s="4" t="s">
        <v>256</v>
      </c>
      <c r="E62" s="4" t="s">
        <v>85</v>
      </c>
      <c r="F62" s="5" t="s">
        <v>152</v>
      </c>
      <c r="G62" s="4" t="s">
        <v>256</v>
      </c>
      <c r="H62" s="4" t="s">
        <v>85</v>
      </c>
      <c r="I62" s="6" t="s">
        <v>152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>
      <c r="A63" s="21">
        <v>1</v>
      </c>
      <c r="B63" s="22">
        <v>2</v>
      </c>
      <c r="C63" s="22">
        <v>3</v>
      </c>
      <c r="D63" s="22">
        <v>4</v>
      </c>
      <c r="E63" s="36">
        <v>5</v>
      </c>
      <c r="F63" s="22" t="s">
        <v>80</v>
      </c>
      <c r="G63" s="22">
        <v>7</v>
      </c>
      <c r="H63" s="36">
        <v>8</v>
      </c>
      <c r="I63" s="23" t="s">
        <v>79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5" customHeight="1">
      <c r="A64" s="756" t="s">
        <v>154</v>
      </c>
      <c r="B64" s="13" t="s">
        <v>5</v>
      </c>
      <c r="C64" s="12" t="s">
        <v>3</v>
      </c>
      <c r="D64" s="54">
        <f>SUM(D7,-D70,-E70)</f>
        <v>2466</v>
      </c>
      <c r="E64" s="54"/>
      <c r="F64" s="54">
        <f t="shared" ref="F64:F69" si="2">D64</f>
        <v>2466</v>
      </c>
      <c r="G64" s="54">
        <f>SUM(D25,-G70)</f>
        <v>2465</v>
      </c>
      <c r="H64" s="54"/>
      <c r="I64" s="85">
        <f t="shared" ref="I64:I69" si="3">G64</f>
        <v>2465</v>
      </c>
      <c r="J64" s="37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15" customHeight="1">
      <c r="A65" s="757"/>
      <c r="B65" s="13" t="s">
        <v>175</v>
      </c>
      <c r="C65" s="12" t="s">
        <v>3</v>
      </c>
      <c r="D65" s="54">
        <f>SUM(D14,-D71,-E71)</f>
        <v>0</v>
      </c>
      <c r="E65" s="54"/>
      <c r="F65" s="54">
        <f t="shared" si="2"/>
        <v>0</v>
      </c>
      <c r="G65" s="54">
        <f>SUM(D32,-G71)</f>
        <v>0</v>
      </c>
      <c r="H65" s="54"/>
      <c r="I65" s="85">
        <f t="shared" si="3"/>
        <v>0</v>
      </c>
      <c r="J65" s="37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15" customHeight="1">
      <c r="A66" s="757"/>
      <c r="B66" s="13" t="s">
        <v>153</v>
      </c>
      <c r="C66" s="12" t="s">
        <v>3</v>
      </c>
      <c r="D66" s="54">
        <f>SUM(D15,-D72,-E72)</f>
        <v>0</v>
      </c>
      <c r="E66" s="54"/>
      <c r="F66" s="54">
        <f t="shared" si="2"/>
        <v>0</v>
      </c>
      <c r="G66" s="54">
        <f>SUM(D33,-G72)</f>
        <v>0</v>
      </c>
      <c r="H66" s="54"/>
      <c r="I66" s="85">
        <f t="shared" si="3"/>
        <v>0</v>
      </c>
      <c r="J66" s="37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15" customHeight="1">
      <c r="A67" s="757"/>
      <c r="B67" s="13" t="s">
        <v>148</v>
      </c>
      <c r="C67" s="12" t="s">
        <v>94</v>
      </c>
      <c r="D67" s="54">
        <f>SUM(E6,-D73,-E73)</f>
        <v>0</v>
      </c>
      <c r="E67" s="54"/>
      <c r="F67" s="54">
        <f t="shared" si="2"/>
        <v>0</v>
      </c>
      <c r="G67" s="54">
        <v>153</v>
      </c>
      <c r="H67" s="54"/>
      <c r="I67" s="85">
        <f t="shared" si="3"/>
        <v>153</v>
      </c>
      <c r="J67" s="37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15" customHeight="1">
      <c r="A68" s="757"/>
      <c r="B68" s="13" t="s">
        <v>6</v>
      </c>
      <c r="C68" s="12" t="s">
        <v>3</v>
      </c>
      <c r="D68" s="54">
        <f>SUM(D16,-D74,-E74)</f>
        <v>210</v>
      </c>
      <c r="E68" s="54"/>
      <c r="F68" s="54">
        <f t="shared" si="2"/>
        <v>210</v>
      </c>
      <c r="G68" s="54">
        <v>255</v>
      </c>
      <c r="H68" s="54"/>
      <c r="I68" s="85">
        <f t="shared" si="3"/>
        <v>255</v>
      </c>
      <c r="J68" s="37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30" customHeight="1">
      <c r="A69" s="758"/>
      <c r="B69" s="41" t="s">
        <v>254</v>
      </c>
      <c r="C69" s="10" t="s">
        <v>3</v>
      </c>
      <c r="D69" s="98">
        <f>ROUND(SUM(D64:D65,D68)-D66-D67,3)</f>
        <v>2676</v>
      </c>
      <c r="E69" s="98"/>
      <c r="F69" s="98">
        <f t="shared" si="2"/>
        <v>2676</v>
      </c>
      <c r="G69" s="99">
        <f>ROUND(SUM(G64:G65,G68)-G66-G67,3)</f>
        <v>2567</v>
      </c>
      <c r="H69" s="99"/>
      <c r="I69" s="100">
        <f t="shared" si="3"/>
        <v>2567</v>
      </c>
      <c r="J69" s="37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15" customHeight="1">
      <c r="A70" s="759" t="s">
        <v>155</v>
      </c>
      <c r="B70" s="13" t="s">
        <v>5</v>
      </c>
      <c r="C70" s="12" t="s">
        <v>3</v>
      </c>
      <c r="D70" s="55">
        <v>50</v>
      </c>
      <c r="E70" s="55"/>
      <c r="F70" s="54">
        <f t="shared" ref="F70:F76" si="4">SUM(D70:E70)</f>
        <v>50</v>
      </c>
      <c r="G70" s="55">
        <v>50</v>
      </c>
      <c r="H70" s="106">
        <f>G25</f>
        <v>0</v>
      </c>
      <c r="I70" s="85">
        <f t="shared" ref="I70:I76" si="5">SUM(G70:H70)</f>
        <v>50</v>
      </c>
      <c r="J70" s="37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5" customHeight="1">
      <c r="A71" s="759"/>
      <c r="B71" s="13" t="s">
        <v>175</v>
      </c>
      <c r="C71" s="12" t="s">
        <v>3</v>
      </c>
      <c r="D71" s="55"/>
      <c r="E71" s="55"/>
      <c r="F71" s="54">
        <f t="shared" si="4"/>
        <v>0</v>
      </c>
      <c r="G71" s="55"/>
      <c r="H71" s="106">
        <f>G32</f>
        <v>0</v>
      </c>
      <c r="I71" s="85">
        <f t="shared" si="5"/>
        <v>0</v>
      </c>
      <c r="J71" s="37"/>
    </row>
    <row r="72" spans="1:36" ht="15" customHeight="1">
      <c r="A72" s="759"/>
      <c r="B72" s="13" t="s">
        <v>153</v>
      </c>
      <c r="C72" s="12" t="s">
        <v>3</v>
      </c>
      <c r="D72" s="55"/>
      <c r="E72" s="55"/>
      <c r="F72" s="54">
        <f t="shared" si="4"/>
        <v>0</v>
      </c>
      <c r="G72" s="55"/>
      <c r="H72" s="106">
        <f>G33</f>
        <v>0</v>
      </c>
      <c r="I72" s="85">
        <f t="shared" si="5"/>
        <v>0</v>
      </c>
      <c r="J72" s="37"/>
    </row>
    <row r="73" spans="1:36" ht="15" customHeight="1">
      <c r="A73" s="759"/>
      <c r="B73" s="13" t="s">
        <v>148</v>
      </c>
      <c r="C73" s="12" t="s">
        <v>94</v>
      </c>
      <c r="D73" s="55"/>
      <c r="E73" s="55"/>
      <c r="F73" s="54">
        <f t="shared" si="4"/>
        <v>0</v>
      </c>
      <c r="G73" s="55"/>
      <c r="H73" s="106">
        <f>H24</f>
        <v>0</v>
      </c>
      <c r="I73" s="85">
        <f t="shared" si="5"/>
        <v>0</v>
      </c>
      <c r="J73" s="37"/>
    </row>
    <row r="74" spans="1:36" ht="15" customHeight="1">
      <c r="A74" s="759"/>
      <c r="B74" s="13" t="s">
        <v>6</v>
      </c>
      <c r="C74" s="12" t="s">
        <v>3</v>
      </c>
      <c r="D74" s="55">
        <v>50</v>
      </c>
      <c r="E74" s="55"/>
      <c r="F74" s="54">
        <f t="shared" si="4"/>
        <v>50</v>
      </c>
      <c r="G74" s="55">
        <v>50</v>
      </c>
      <c r="H74" s="106">
        <f>G34</f>
        <v>0</v>
      </c>
      <c r="I74" s="85">
        <f t="shared" si="5"/>
        <v>50</v>
      </c>
      <c r="J74" s="37"/>
    </row>
    <row r="75" spans="1:36" ht="30" customHeight="1" thickBot="1">
      <c r="A75" s="760"/>
      <c r="B75" s="42" t="s">
        <v>255</v>
      </c>
      <c r="C75" s="38" t="s">
        <v>3</v>
      </c>
      <c r="D75" s="96">
        <f>ROUND(SUM(D70:D71,D74)-D72-D73,3)</f>
        <v>100</v>
      </c>
      <c r="E75" s="96">
        <f>ROUND(SUM(E70:E71,E74)-E72-E73,3)</f>
        <v>0</v>
      </c>
      <c r="F75" s="96">
        <f t="shared" si="4"/>
        <v>100</v>
      </c>
      <c r="G75" s="96">
        <f>ROUND(SUM(G70:G71,G74)-G72-G73,3)</f>
        <v>100</v>
      </c>
      <c r="H75" s="96">
        <f>ROUND(SUM(H70:H71,H74)-H72-H73,3)</f>
        <v>0</v>
      </c>
      <c r="I75" s="97">
        <f t="shared" si="5"/>
        <v>100</v>
      </c>
      <c r="J75" s="37"/>
    </row>
    <row r="76" spans="1:36" ht="30" customHeight="1" thickTop="1" thickBot="1">
      <c r="A76" s="517" t="s">
        <v>712</v>
      </c>
      <c r="B76" s="101" t="s">
        <v>711</v>
      </c>
      <c r="C76" s="102" t="s">
        <v>3</v>
      </c>
      <c r="D76" s="103">
        <f>ROUND(SUM(D69,D75),3)</f>
        <v>2776</v>
      </c>
      <c r="E76" s="103">
        <f>ROUND(SUM(E69,E75),3)</f>
        <v>0</v>
      </c>
      <c r="F76" s="103">
        <f t="shared" si="4"/>
        <v>2776</v>
      </c>
      <c r="G76" s="103">
        <f>ROUND(SUM(G69,G75),3)</f>
        <v>2667</v>
      </c>
      <c r="H76" s="103">
        <f>ROUND(SUM(H69,H75),3)</f>
        <v>0</v>
      </c>
      <c r="I76" s="104">
        <f t="shared" si="5"/>
        <v>2667</v>
      </c>
      <c r="J76" s="37"/>
    </row>
    <row r="77" spans="1:36" ht="13.5" thickTop="1"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12.75" customHeight="1">
      <c r="A80" s="1" t="s">
        <v>260</v>
      </c>
      <c r="B80" s="17"/>
      <c r="C80" s="3"/>
      <c r="D80" s="11"/>
      <c r="E80" s="19"/>
      <c r="F80" s="18" t="s">
        <v>259</v>
      </c>
      <c r="G80" s="11"/>
      <c r="H80" s="11"/>
      <c r="I80" s="11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12.75" customHeight="1">
      <c r="A81" s="1"/>
      <c r="B81" s="64" t="s">
        <v>776</v>
      </c>
      <c r="C81" s="11"/>
      <c r="D81" s="3"/>
      <c r="E81" s="3"/>
      <c r="F81" s="3"/>
      <c r="G81" s="755" t="s">
        <v>777</v>
      </c>
      <c r="H81" s="755"/>
      <c r="I81" s="755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12.75" customHeight="1"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.75" hidden="1" customHeight="1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.75" hidden="1" customHeight="1"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.75" hidden="1" customHeight="1"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.75" hidden="1" customHeight="1"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12.75" hidden="1" customHeight="1"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12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12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12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12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12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12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12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12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12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.75" hidden="1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.75" hidden="1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.75" hidden="1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.75" hidden="1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12.75" hidden="1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12.75" hidden="1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12.75" hidden="1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12.75" hidden="1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12.75" hidden="1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12.75" hidden="1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12.75" hidden="1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12.75" hidden="1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12.75" hidden="1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12.75" hidden="1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12.75" hidden="1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12.75" hidden="1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12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12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12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12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12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12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12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12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.75" customHeight="1"/>
    <row r="126" spans="1:36" ht="12.75" customHeight="1"/>
    <row r="127" spans="1:36" ht="12.75" customHeight="1"/>
    <row r="128" spans="1:36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</sheetData>
  <mergeCells count="106">
    <mergeCell ref="D53:F53"/>
    <mergeCell ref="G53:I53"/>
    <mergeCell ref="G81:I81"/>
    <mergeCell ref="A64:A69"/>
    <mergeCell ref="A70:A75"/>
    <mergeCell ref="A59:I59"/>
    <mergeCell ref="A61:A62"/>
    <mergeCell ref="B61:B62"/>
    <mergeCell ref="C61:C62"/>
    <mergeCell ref="D61:F61"/>
    <mergeCell ref="G61:I61"/>
    <mergeCell ref="E48:F48"/>
    <mergeCell ref="H48:I48"/>
    <mergeCell ref="E49:F49"/>
    <mergeCell ref="H49:I49"/>
    <mergeCell ref="E50:F50"/>
    <mergeCell ref="H50:I50"/>
    <mergeCell ref="E51:F51"/>
    <mergeCell ref="H51:I51"/>
    <mergeCell ref="D52:F52"/>
    <mergeCell ref="G52:I52"/>
    <mergeCell ref="E43:F43"/>
    <mergeCell ref="H43:I43"/>
    <mergeCell ref="E44:F44"/>
    <mergeCell ref="H44:I44"/>
    <mergeCell ref="E45:F45"/>
    <mergeCell ref="H45:I45"/>
    <mergeCell ref="E46:F46"/>
    <mergeCell ref="H46:I46"/>
    <mergeCell ref="E47:F47"/>
    <mergeCell ref="H47:I47"/>
    <mergeCell ref="A38:I38"/>
    <mergeCell ref="A40:A41"/>
    <mergeCell ref="B40:B41"/>
    <mergeCell ref="C40:C41"/>
    <mergeCell ref="D40:F40"/>
    <mergeCell ref="G40:I40"/>
    <mergeCell ref="E41:F41"/>
    <mergeCell ref="H41:I41"/>
    <mergeCell ref="E42:F42"/>
    <mergeCell ref="H42:I42"/>
    <mergeCell ref="A4:A5"/>
    <mergeCell ref="B4:B5"/>
    <mergeCell ref="C4:C5"/>
    <mergeCell ref="D4:F4"/>
    <mergeCell ref="G4:I4"/>
    <mergeCell ref="E5:F5"/>
    <mergeCell ref="H5:I5"/>
    <mergeCell ref="B22:B23"/>
    <mergeCell ref="C22:C23"/>
    <mergeCell ref="D22:F22"/>
    <mergeCell ref="G22:I22"/>
    <mergeCell ref="E23:F23"/>
    <mergeCell ref="H23:I23"/>
    <mergeCell ref="E26:F26"/>
    <mergeCell ref="H26:I26"/>
    <mergeCell ref="E15:F15"/>
    <mergeCell ref="E14:F14"/>
    <mergeCell ref="E12:F12"/>
    <mergeCell ref="H24:I24"/>
    <mergeCell ref="H7:I7"/>
    <mergeCell ref="E6:F6"/>
    <mergeCell ref="H6:I6"/>
    <mergeCell ref="E13:F13"/>
    <mergeCell ref="D16:F16"/>
    <mergeCell ref="G16:I16"/>
    <mergeCell ref="H10:I10"/>
    <mergeCell ref="E11:F11"/>
    <mergeCell ref="H8:I8"/>
    <mergeCell ref="H12:I12"/>
    <mergeCell ref="H13:I13"/>
    <mergeCell ref="H14:I14"/>
    <mergeCell ref="H15:I15"/>
    <mergeCell ref="D17:F17"/>
    <mergeCell ref="G17:I17"/>
    <mergeCell ref="A20:I20"/>
    <mergeCell ref="A22:A23"/>
    <mergeCell ref="B1:C1"/>
    <mergeCell ref="E9:F9"/>
    <mergeCell ref="E8:F8"/>
    <mergeCell ref="H9:I9"/>
    <mergeCell ref="E10:F10"/>
    <mergeCell ref="E25:F25"/>
    <mergeCell ref="H25:I25"/>
    <mergeCell ref="E24:F24"/>
    <mergeCell ref="H11:I11"/>
    <mergeCell ref="E7:F7"/>
    <mergeCell ref="B2:C2"/>
    <mergeCell ref="H32:I32"/>
    <mergeCell ref="E33:F33"/>
    <mergeCell ref="H33:I33"/>
    <mergeCell ref="D34:F34"/>
    <mergeCell ref="G34:I34"/>
    <mergeCell ref="D35:F35"/>
    <mergeCell ref="G35:I35"/>
    <mergeCell ref="E32:F32"/>
    <mergeCell ref="H27:I27"/>
    <mergeCell ref="E28:F28"/>
    <mergeCell ref="E30:F30"/>
    <mergeCell ref="H30:I30"/>
    <mergeCell ref="E29:F29"/>
    <mergeCell ref="E31:F31"/>
    <mergeCell ref="H31:I31"/>
    <mergeCell ref="H29:I29"/>
    <mergeCell ref="H28:I28"/>
    <mergeCell ref="E27:F27"/>
  </mergeCells>
  <phoneticPr fontId="0" type="noConversion"/>
  <printOptions horizontalCentered="1"/>
  <pageMargins left="0.94488188976377963" right="0.15748031496062992" top="0.78740157480314965" bottom="0.59055118110236227" header="0.51181102362204722" footer="0.51181102362204722"/>
  <pageSetup paperSize="256" scale="94" fitToHeight="0" orientation="portrait" blackAndWhite="1" r:id="rId1"/>
  <headerFooter alignWithMargins="0"/>
  <ignoredErrors>
    <ignoredError sqref="D28 D44:F45 H70:H71 H73:H74 H72 D47:F47 D46 D49:F52 E48:F48 D31:F34 E30:F30 E26:F26 F27 D29 F29 F28" unlockedFormula="1"/>
    <ignoredError sqref="F75:F76" formula="1"/>
    <ignoredError sqref="G7 D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L68"/>
  <sheetViews>
    <sheetView showGridLines="0" showZeros="0" topLeftCell="A22" zoomScale="120" zoomScaleNormal="120" workbookViewId="0">
      <selection activeCell="G7" sqref="G7"/>
    </sheetView>
  </sheetViews>
  <sheetFormatPr defaultColWidth="0" defaultRowHeight="12.75" zeroHeight="1"/>
  <cols>
    <col min="1" max="1" width="3.85546875" style="108" customWidth="1"/>
    <col min="2" max="2" width="20.28515625" style="108" customWidth="1"/>
    <col min="3" max="4" width="11" style="108" customWidth="1"/>
    <col min="5" max="5" width="7.7109375" style="108" customWidth="1"/>
    <col min="6" max="6" width="16.7109375" style="108" customWidth="1"/>
    <col min="7" max="7" width="20.28515625" style="108" customWidth="1"/>
    <col min="8" max="8" width="7.7109375" style="108" customWidth="1"/>
    <col min="9" max="12" width="7.7109375" style="108" hidden="1" customWidth="1"/>
    <col min="13" max="16384" width="0" style="108" hidden="1"/>
  </cols>
  <sheetData>
    <row r="1" spans="1:8" ht="18.75">
      <c r="A1" s="107"/>
      <c r="B1" s="780">
        <v>3</v>
      </c>
      <c r="C1" s="780"/>
      <c r="D1" s="780"/>
      <c r="E1" s="780"/>
      <c r="F1" s="242"/>
      <c r="G1" s="138" t="s">
        <v>693</v>
      </c>
    </row>
    <row r="2" spans="1:8">
      <c r="A2" s="107"/>
      <c r="B2" s="107"/>
      <c r="C2" s="107"/>
      <c r="D2" s="107"/>
      <c r="E2" s="107"/>
      <c r="F2" s="107"/>
      <c r="G2" s="107"/>
    </row>
    <row r="3" spans="1:8">
      <c r="A3" s="107"/>
      <c r="B3" s="107"/>
      <c r="C3" s="107"/>
      <c r="D3" s="107"/>
      <c r="E3" s="107"/>
      <c r="F3" s="107"/>
      <c r="G3" s="107"/>
    </row>
    <row r="4" spans="1:8" ht="15.75" customHeight="1">
      <c r="A4" s="157"/>
      <c r="B4" s="781" t="s">
        <v>156</v>
      </c>
      <c r="C4" s="781"/>
      <c r="D4" s="781"/>
      <c r="E4" s="781"/>
      <c r="F4" s="157"/>
      <c r="G4" s="157"/>
    </row>
    <row r="5" spans="1:8" ht="15.75">
      <c r="A5" s="243"/>
      <c r="B5" s="782" t="s">
        <v>773</v>
      </c>
      <c r="C5" s="782"/>
      <c r="D5" s="782"/>
      <c r="E5" s="782"/>
      <c r="F5" s="243"/>
      <c r="G5" s="243"/>
    </row>
    <row r="6" spans="1:8" ht="15.75">
      <c r="A6" s="243"/>
      <c r="B6" s="244"/>
      <c r="C6" s="244"/>
      <c r="D6" s="244"/>
      <c r="E6" s="243"/>
      <c r="F6" s="243"/>
      <c r="G6" s="243"/>
    </row>
    <row r="7" spans="1:8" ht="15.75">
      <c r="A7" s="243"/>
      <c r="B7" s="244"/>
      <c r="C7" s="244"/>
      <c r="D7" s="244"/>
      <c r="E7" s="243"/>
      <c r="F7" s="243"/>
      <c r="G7" s="243"/>
    </row>
    <row r="8" spans="1:8"/>
    <row r="9" spans="1:8" ht="13.5" thickBot="1">
      <c r="A9" s="120"/>
      <c r="B9" s="120"/>
      <c r="C9" s="120"/>
      <c r="D9" s="120"/>
      <c r="E9" s="120"/>
      <c r="F9" s="120"/>
      <c r="G9" s="120"/>
    </row>
    <row r="10" spans="1:8" s="111" customFormat="1" ht="30" customHeight="1" thickTop="1">
      <c r="A10" s="245" t="s">
        <v>0</v>
      </c>
      <c r="B10" s="783" t="s">
        <v>71</v>
      </c>
      <c r="C10" s="784"/>
      <c r="D10" s="785"/>
      <c r="E10" s="246" t="s">
        <v>41</v>
      </c>
      <c r="F10" s="247" t="s">
        <v>784</v>
      </c>
      <c r="G10" s="247" t="s">
        <v>785</v>
      </c>
      <c r="H10" s="248"/>
    </row>
    <row r="11" spans="1:8" s="111" customFormat="1">
      <c r="A11" s="249">
        <v>1</v>
      </c>
      <c r="B11" s="786">
        <v>2</v>
      </c>
      <c r="C11" s="787"/>
      <c r="D11" s="788"/>
      <c r="E11" s="250">
        <v>3</v>
      </c>
      <c r="F11" s="250">
        <v>4</v>
      </c>
      <c r="G11" s="251">
        <v>5</v>
      </c>
      <c r="H11" s="252"/>
    </row>
    <row r="12" spans="1:8" s="255" customFormat="1" ht="15">
      <c r="A12" s="193">
        <v>1</v>
      </c>
      <c r="B12" s="768" t="s">
        <v>72</v>
      </c>
      <c r="C12" s="769"/>
      <c r="D12" s="770"/>
      <c r="E12" s="253" t="s">
        <v>73</v>
      </c>
      <c r="F12" s="75">
        <v>900</v>
      </c>
      <c r="G12" s="699">
        <v>900</v>
      </c>
      <c r="H12" s="254"/>
    </row>
    <row r="13" spans="1:8" s="255" customFormat="1" ht="15" customHeight="1">
      <c r="A13" s="193">
        <v>2</v>
      </c>
      <c r="B13" s="768" t="s">
        <v>92</v>
      </c>
      <c r="C13" s="769"/>
      <c r="D13" s="770"/>
      <c r="E13" s="253" t="s">
        <v>7</v>
      </c>
      <c r="F13" s="256">
        <v>0.35785288270377735</v>
      </c>
      <c r="G13" s="257">
        <v>0.35785288270377735</v>
      </c>
      <c r="H13" s="258"/>
    </row>
    <row r="14" spans="1:8" s="255" customFormat="1" ht="17.25" customHeight="1">
      <c r="A14" s="193">
        <v>3</v>
      </c>
      <c r="B14" s="768" t="s">
        <v>74</v>
      </c>
      <c r="C14" s="769"/>
      <c r="D14" s="770"/>
      <c r="E14" s="253" t="s">
        <v>7</v>
      </c>
      <c r="F14" s="77">
        <v>0.04</v>
      </c>
      <c r="G14" s="689">
        <v>0.04</v>
      </c>
      <c r="H14" s="259"/>
    </row>
    <row r="15" spans="1:8" s="255" customFormat="1" ht="15" customHeight="1">
      <c r="A15" s="193">
        <v>4</v>
      </c>
      <c r="B15" s="768" t="s">
        <v>91</v>
      </c>
      <c r="C15" s="769"/>
      <c r="D15" s="770"/>
      <c r="E15" s="253" t="s">
        <v>73</v>
      </c>
      <c r="F15" s="260">
        <v>1615</v>
      </c>
      <c r="G15" s="261">
        <v>1615</v>
      </c>
      <c r="H15" s="254"/>
    </row>
    <row r="16" spans="1:8" s="255" customFormat="1" ht="15" customHeight="1">
      <c r="A16" s="193"/>
      <c r="B16" s="768" t="s">
        <v>89</v>
      </c>
      <c r="C16" s="769"/>
      <c r="D16" s="770"/>
      <c r="E16" s="253" t="s">
        <v>73</v>
      </c>
      <c r="F16" s="75">
        <v>1052</v>
      </c>
      <c r="G16" s="76">
        <v>1052</v>
      </c>
      <c r="H16" s="254"/>
    </row>
    <row r="17" spans="1:8" s="255" customFormat="1" ht="15">
      <c r="A17" s="193"/>
      <c r="B17" s="768" t="s">
        <v>90</v>
      </c>
      <c r="C17" s="769"/>
      <c r="D17" s="770"/>
      <c r="E17" s="253" t="s">
        <v>73</v>
      </c>
      <c r="F17" s="75">
        <v>563</v>
      </c>
      <c r="G17" s="76">
        <v>563</v>
      </c>
      <c r="H17" s="254"/>
    </row>
    <row r="18" spans="1:8" s="255" customFormat="1" ht="15" customHeight="1">
      <c r="A18" s="193">
        <v>5</v>
      </c>
      <c r="B18" s="768" t="s">
        <v>93</v>
      </c>
      <c r="C18" s="769"/>
      <c r="D18" s="770"/>
      <c r="E18" s="253" t="s">
        <v>7</v>
      </c>
      <c r="F18" s="256">
        <v>0.64214711729622265</v>
      </c>
      <c r="G18" s="257">
        <v>0.64214711729622265</v>
      </c>
      <c r="H18" s="258"/>
    </row>
    <row r="19" spans="1:8" s="255" customFormat="1" ht="30" customHeight="1">
      <c r="A19" s="193">
        <v>6</v>
      </c>
      <c r="B19" s="768" t="s">
        <v>75</v>
      </c>
      <c r="C19" s="769"/>
      <c r="D19" s="770"/>
      <c r="E19" s="253" t="s">
        <v>7</v>
      </c>
      <c r="F19" s="77">
        <v>6.6513931888544889E-2</v>
      </c>
      <c r="G19" s="694">
        <f>E28</f>
        <v>6.6513931888544889E-2</v>
      </c>
      <c r="H19" s="259"/>
    </row>
    <row r="20" spans="1:8" s="255" customFormat="1" ht="15">
      <c r="A20" s="193">
        <v>7</v>
      </c>
      <c r="B20" s="768" t="s">
        <v>76</v>
      </c>
      <c r="C20" s="769"/>
      <c r="D20" s="770"/>
      <c r="E20" s="253" t="s">
        <v>7</v>
      </c>
      <c r="F20" s="77">
        <v>0.1</v>
      </c>
      <c r="G20" s="518">
        <v>0.1</v>
      </c>
      <c r="H20" s="262"/>
    </row>
    <row r="21" spans="1:8" ht="13.5" thickBot="1">
      <c r="A21" s="263">
        <v>8</v>
      </c>
      <c r="B21" s="773" t="s">
        <v>77</v>
      </c>
      <c r="C21" s="774"/>
      <c r="D21" s="775"/>
      <c r="E21" s="264" t="s">
        <v>7</v>
      </c>
      <c r="F21" s="265">
        <v>5.8599999999999999E-2</v>
      </c>
      <c r="G21" s="266">
        <v>5.8599999999999999E-2</v>
      </c>
      <c r="H21" s="267"/>
    </row>
    <row r="22" spans="1:8" ht="13.5" thickTop="1"/>
    <row r="23" spans="1:8"/>
    <row r="24" spans="1:8">
      <c r="B24" s="767" t="s">
        <v>783</v>
      </c>
      <c r="C24" s="767"/>
      <c r="D24" s="767"/>
      <c r="E24" s="767"/>
    </row>
    <row r="25" spans="1:8" ht="13.5" thickBot="1">
      <c r="B25" s="268"/>
      <c r="C25" s="268"/>
      <c r="D25" s="268"/>
      <c r="E25" s="268"/>
    </row>
    <row r="26" spans="1:8" ht="26.25" customHeight="1" thickTop="1">
      <c r="A26" s="776" t="s">
        <v>0</v>
      </c>
      <c r="B26" s="778" t="s">
        <v>283</v>
      </c>
      <c r="C26" s="778" t="s">
        <v>451</v>
      </c>
      <c r="D26" s="778" t="s">
        <v>449</v>
      </c>
      <c r="E26" s="771" t="s">
        <v>450</v>
      </c>
      <c r="F26" s="269" t="s">
        <v>285</v>
      </c>
      <c r="G26" s="519" t="s">
        <v>713</v>
      </c>
    </row>
    <row r="27" spans="1:8" ht="26.25" customHeight="1">
      <c r="A27" s="777"/>
      <c r="B27" s="779"/>
      <c r="C27" s="779"/>
      <c r="D27" s="779"/>
      <c r="E27" s="772"/>
      <c r="F27" s="271" t="str">
        <f>'ТИП-ПРОИЗ'!$E$5</f>
        <v>ОТЧЕТ</v>
      </c>
      <c r="G27" s="523" t="str">
        <f>G10</f>
        <v>Към 31.12.2015 г.</v>
      </c>
    </row>
    <row r="28" spans="1:8" ht="12.75" customHeight="1">
      <c r="A28" s="270">
        <v>4</v>
      </c>
      <c r="B28" s="272" t="s">
        <v>288</v>
      </c>
      <c r="C28" s="273">
        <f>SUM(C29,C34)</f>
        <v>1615</v>
      </c>
      <c r="D28" s="273"/>
      <c r="E28" s="274">
        <f>IF(C28=0,0,SUM(C29*E29,C34*E34)/C28)</f>
        <v>6.6513931888544889E-2</v>
      </c>
      <c r="F28" s="275">
        <f>SUM(F29,F34)</f>
        <v>0</v>
      </c>
      <c r="G28" s="520">
        <f>SUM(G29,G34)</f>
        <v>1615.2</v>
      </c>
    </row>
    <row r="29" spans="1:8">
      <c r="A29" s="184" t="s">
        <v>257</v>
      </c>
      <c r="B29" s="276" t="s">
        <v>286</v>
      </c>
      <c r="C29" s="277">
        <v>1052</v>
      </c>
      <c r="D29" s="277"/>
      <c r="E29" s="274">
        <f>ROUND(IF(C29=0,0,SUMPRODUCT(C30:C33,E30:E33)/C29),4)</f>
        <v>7.0000000000000007E-2</v>
      </c>
      <c r="F29" s="278">
        <f>SUM(F30:F33)</f>
        <v>0</v>
      </c>
      <c r="G29" s="279">
        <f>SUM(G30:G33)</f>
        <v>1052.2</v>
      </c>
    </row>
    <row r="30" spans="1:8" ht="25.5">
      <c r="A30" s="193"/>
      <c r="B30" s="685" t="s">
        <v>778</v>
      </c>
      <c r="C30" s="49">
        <v>1011.2</v>
      </c>
      <c r="D30" s="49"/>
      <c r="E30" s="50">
        <v>7.0000000000000007E-2</v>
      </c>
      <c r="F30" s="49"/>
      <c r="G30" s="521">
        <f>SUM(C30,-F30)</f>
        <v>1011.2</v>
      </c>
    </row>
    <row r="31" spans="1:8" ht="15" customHeight="1">
      <c r="A31" s="193"/>
      <c r="B31" s="685" t="s">
        <v>780</v>
      </c>
      <c r="C31" s="49">
        <v>41</v>
      </c>
      <c r="D31" s="49"/>
      <c r="E31" s="50">
        <v>7.0000000000000007E-2</v>
      </c>
      <c r="F31" s="49"/>
      <c r="G31" s="521">
        <f>SUM(C31,-F31)</f>
        <v>41</v>
      </c>
    </row>
    <row r="32" spans="1:8" ht="15" customHeight="1">
      <c r="A32" s="193"/>
      <c r="B32" s="205" t="s">
        <v>284</v>
      </c>
      <c r="C32" s="49"/>
      <c r="D32" s="49"/>
      <c r="E32" s="50"/>
      <c r="F32" s="49"/>
      <c r="G32" s="521">
        <f>SUM(C32,-F32)</f>
        <v>0</v>
      </c>
    </row>
    <row r="33" spans="1:10" ht="15" customHeight="1">
      <c r="A33" s="193"/>
      <c r="B33" s="205" t="s">
        <v>284</v>
      </c>
      <c r="C33" s="49"/>
      <c r="D33" s="49"/>
      <c r="E33" s="50"/>
      <c r="F33" s="49"/>
      <c r="G33" s="521">
        <f>SUM(C33,-F33)</f>
        <v>0</v>
      </c>
    </row>
    <row r="34" spans="1:10" ht="12.75" customHeight="1">
      <c r="A34" s="184" t="s">
        <v>258</v>
      </c>
      <c r="B34" s="280" t="s">
        <v>287</v>
      </c>
      <c r="C34" s="281">
        <f>SUM(C35:C43)</f>
        <v>563</v>
      </c>
      <c r="D34" s="281"/>
      <c r="E34" s="274">
        <f>ROUND(IF(C34=0,0,SUMPRODUCT(C35:C43,E35:E43)/C34),4)</f>
        <v>0.06</v>
      </c>
      <c r="F34" s="278">
        <f>SUM(F35:F43)</f>
        <v>0</v>
      </c>
      <c r="G34" s="279">
        <f>SUM(G35:G43)</f>
        <v>563</v>
      </c>
    </row>
    <row r="35" spans="1:10">
      <c r="A35" s="193"/>
      <c r="B35" s="685" t="s">
        <v>779</v>
      </c>
      <c r="C35" s="49">
        <v>174</v>
      </c>
      <c r="D35" s="49"/>
      <c r="E35" s="50">
        <v>0.06</v>
      </c>
      <c r="F35" s="49"/>
      <c r="G35" s="521">
        <f t="shared" ref="G35:G43" si="0">SUM(C35,-F35)</f>
        <v>174</v>
      </c>
    </row>
    <row r="36" spans="1:10">
      <c r="A36" s="193"/>
      <c r="B36" s="685" t="s">
        <v>779</v>
      </c>
      <c r="C36" s="49">
        <v>202</v>
      </c>
      <c r="D36" s="49"/>
      <c r="E36" s="50">
        <v>0.06</v>
      </c>
      <c r="F36" s="49"/>
      <c r="G36" s="521">
        <f t="shared" si="0"/>
        <v>202</v>
      </c>
    </row>
    <row r="37" spans="1:10">
      <c r="A37" s="193"/>
      <c r="B37" s="685" t="s">
        <v>779</v>
      </c>
      <c r="C37" s="49">
        <v>187</v>
      </c>
      <c r="D37" s="49"/>
      <c r="E37" s="50">
        <v>0.06</v>
      </c>
      <c r="F37" s="49"/>
      <c r="G37" s="521">
        <f t="shared" si="0"/>
        <v>187</v>
      </c>
    </row>
    <row r="38" spans="1:10">
      <c r="A38" s="193"/>
      <c r="B38" s="205" t="s">
        <v>284</v>
      </c>
      <c r="C38" s="49"/>
      <c r="D38" s="49"/>
      <c r="E38" s="50"/>
      <c r="F38" s="49"/>
      <c r="G38" s="521">
        <f t="shared" si="0"/>
        <v>0</v>
      </c>
    </row>
    <row r="39" spans="1:10">
      <c r="A39" s="193"/>
      <c r="B39" s="205" t="s">
        <v>284</v>
      </c>
      <c r="C39" s="49"/>
      <c r="D39" s="49"/>
      <c r="E39" s="50"/>
      <c r="F39" s="49"/>
      <c r="G39" s="521">
        <f t="shared" si="0"/>
        <v>0</v>
      </c>
    </row>
    <row r="40" spans="1:10">
      <c r="A40" s="193"/>
      <c r="B40" s="205" t="s">
        <v>284</v>
      </c>
      <c r="C40" s="49"/>
      <c r="D40" s="49"/>
      <c r="E40" s="50"/>
      <c r="F40" s="49"/>
      <c r="G40" s="521">
        <f t="shared" si="0"/>
        <v>0</v>
      </c>
    </row>
    <row r="41" spans="1:10">
      <c r="A41" s="193"/>
      <c r="B41" s="205" t="s">
        <v>284</v>
      </c>
      <c r="C41" s="49"/>
      <c r="D41" s="49"/>
      <c r="E41" s="50"/>
      <c r="F41" s="49"/>
      <c r="G41" s="521">
        <f t="shared" si="0"/>
        <v>0</v>
      </c>
    </row>
    <row r="42" spans="1:10">
      <c r="A42" s="193"/>
      <c r="B42" s="205" t="s">
        <v>284</v>
      </c>
      <c r="C42" s="49"/>
      <c r="D42" s="49"/>
      <c r="E42" s="50"/>
      <c r="F42" s="49"/>
      <c r="G42" s="521">
        <f t="shared" si="0"/>
        <v>0</v>
      </c>
    </row>
    <row r="43" spans="1:10" ht="13.5" thickBot="1">
      <c r="A43" s="282"/>
      <c r="B43" s="283" t="s">
        <v>284</v>
      </c>
      <c r="C43" s="51"/>
      <c r="D43" s="51"/>
      <c r="E43" s="52"/>
      <c r="F43" s="51"/>
      <c r="G43" s="522">
        <f t="shared" si="0"/>
        <v>0</v>
      </c>
    </row>
    <row r="44" spans="1:10" ht="13.5" thickTop="1">
      <c r="H44" s="140"/>
      <c r="I44" s="140"/>
    </row>
    <row r="45" spans="1:10" ht="15">
      <c r="A45" s="284" t="s">
        <v>98</v>
      </c>
      <c r="B45" s="285"/>
      <c r="C45" s="137"/>
      <c r="D45" s="137"/>
      <c r="E45" s="111"/>
      <c r="F45" s="111"/>
      <c r="G45" s="111"/>
      <c r="H45" s="110"/>
      <c r="I45" s="110"/>
      <c r="J45" s="110"/>
    </row>
    <row r="46" spans="1:10" ht="15">
      <c r="A46" s="286" t="s">
        <v>179</v>
      </c>
      <c r="B46" s="766" t="s">
        <v>332</v>
      </c>
      <c r="C46" s="766"/>
      <c r="D46" s="766"/>
      <c r="E46" s="766"/>
      <c r="F46" s="766"/>
      <c r="G46" s="766"/>
      <c r="H46" s="288"/>
      <c r="I46" s="288"/>
      <c r="J46" s="288"/>
    </row>
    <row r="47" spans="1:10" ht="15">
      <c r="A47" s="286"/>
      <c r="B47" s="287"/>
      <c r="C47" s="287"/>
      <c r="D47" s="287"/>
      <c r="E47" s="287"/>
      <c r="F47" s="287"/>
      <c r="G47" s="287"/>
      <c r="H47" s="288"/>
      <c r="I47" s="288"/>
      <c r="J47" s="288"/>
    </row>
    <row r="48" spans="1:10" ht="15">
      <c r="A48" s="286"/>
      <c r="B48" s="287"/>
      <c r="C48" s="287"/>
      <c r="D48" s="287"/>
      <c r="E48" s="287"/>
      <c r="F48" s="287"/>
      <c r="G48" s="287"/>
      <c r="H48" s="288"/>
      <c r="I48" s="288"/>
      <c r="J48" s="288"/>
    </row>
    <row r="49" spans="1:10" ht="15">
      <c r="A49" s="286"/>
      <c r="B49" s="287"/>
      <c r="C49" s="287"/>
      <c r="D49" s="287"/>
      <c r="E49" s="287"/>
      <c r="F49" s="287"/>
      <c r="G49" s="287"/>
      <c r="H49" s="288"/>
      <c r="I49" s="288"/>
      <c r="J49" s="288"/>
    </row>
    <row r="50" spans="1:10" ht="15">
      <c r="A50" s="286"/>
      <c r="B50" s="287"/>
      <c r="C50" s="287"/>
      <c r="D50" s="287"/>
      <c r="E50" s="287"/>
      <c r="F50" s="287"/>
      <c r="G50" s="287"/>
      <c r="H50" s="288"/>
      <c r="I50" s="288"/>
      <c r="J50" s="288"/>
    </row>
    <row r="51" spans="1:10"/>
    <row r="52" spans="1:10" ht="15.75">
      <c r="A52" s="137" t="str">
        <f>Разходи!$A$91</f>
        <v>Гл. счетоводител:</v>
      </c>
      <c r="B52" s="289"/>
      <c r="C52" s="289"/>
      <c r="D52" s="289"/>
      <c r="E52" s="139" t="str">
        <f>Разходи!$E$91</f>
        <v>Изп. директор:</v>
      </c>
    </row>
    <row r="53" spans="1:10"/>
    <row r="54" spans="1:10">
      <c r="A54" s="137"/>
      <c r="B54" s="290" t="str">
        <f>Разходи!$B$93</f>
        <v>Гл.счетоводител/ М.Тодорова /</v>
      </c>
      <c r="C54" s="290"/>
      <c r="D54" s="290"/>
      <c r="E54" s="110"/>
      <c r="F54" s="765" t="str">
        <f>Разходи!$F$93</f>
        <v>Изп.директор /Т.Йорданов/</v>
      </c>
      <c r="G54" s="765"/>
    </row>
    <row r="55" spans="1:10"/>
    <row r="56" spans="1:10"/>
    <row r="57" spans="1:10"/>
    <row r="58" spans="1:10" hidden="1"/>
    <row r="59" spans="1:10" hidden="1"/>
    <row r="60" spans="1:10" hidden="1"/>
    <row r="61" spans="1:10" hidden="1"/>
    <row r="62" spans="1:10" hidden="1"/>
    <row r="63" spans="1:10" hidden="1"/>
    <row r="64" spans="1:10" hidden="1"/>
    <row r="65" hidden="1"/>
    <row r="66" hidden="1"/>
    <row r="67" hidden="1"/>
    <row r="68" hidden="1"/>
  </sheetData>
  <mergeCells count="23">
    <mergeCell ref="B13:D13"/>
    <mergeCell ref="B14:D14"/>
    <mergeCell ref="B20:D20"/>
    <mergeCell ref="B1:E1"/>
    <mergeCell ref="B4:E4"/>
    <mergeCell ref="B5:E5"/>
    <mergeCell ref="B18:D18"/>
    <mergeCell ref="B10:D10"/>
    <mergeCell ref="B11:D11"/>
    <mergeCell ref="B12:D12"/>
    <mergeCell ref="A26:A27"/>
    <mergeCell ref="B26:B27"/>
    <mergeCell ref="C26:C27"/>
    <mergeCell ref="D26:D27"/>
    <mergeCell ref="B15:D15"/>
    <mergeCell ref="F54:G54"/>
    <mergeCell ref="B46:G46"/>
    <mergeCell ref="B24:E24"/>
    <mergeCell ref="B16:D16"/>
    <mergeCell ref="B17:D17"/>
    <mergeCell ref="E26:E27"/>
    <mergeCell ref="B21:D21"/>
    <mergeCell ref="B19:D19"/>
  </mergeCells>
  <phoneticPr fontId="0" type="noConversion"/>
  <printOptions horizontalCentered="1"/>
  <pageMargins left="0.74803149606299213" right="0.15748031496062992" top="0.78740157480314965" bottom="0.59055118110236227" header="0.51181102362204722" footer="0.51181102362204722"/>
  <pageSetup paperSize="256" orientation="portrait" blackAndWhite="1" r:id="rId1"/>
  <headerFooter alignWithMargins="0"/>
  <ignoredErrors>
    <ignoredError sqref="F29" formulaRange="1" unlockedFormula="1"/>
    <ignoredError sqref="F34 G29:G33 G35:G43" unlockedFormula="1"/>
    <ignoredError sqref="G34" formula="1" unlockedFormula="1"/>
    <ignoredError sqref="E29 E3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G492"/>
  <sheetViews>
    <sheetView showGridLines="0" showZeros="0" tabSelected="1" workbookViewId="0">
      <pane ySplit="7" topLeftCell="A128" activePane="bottomLeft" state="frozen"/>
      <selection pane="bottomLeft" activeCell="F15" sqref="F15"/>
    </sheetView>
  </sheetViews>
  <sheetFormatPr defaultColWidth="0" defaultRowHeight="12.75" zeroHeight="1"/>
  <cols>
    <col min="1" max="1" width="5.5703125" style="111" customWidth="1"/>
    <col min="2" max="2" width="74.140625" style="137" customWidth="1"/>
    <col min="3" max="3" width="10.5703125" style="111" customWidth="1"/>
    <col min="4" max="4" width="10" style="111" customWidth="1"/>
    <col min="5" max="5" width="16.5703125" style="137" customWidth="1"/>
    <col min="6" max="6" width="16.85546875" style="137" customWidth="1"/>
    <col min="7" max="7" width="15.7109375" style="137" customWidth="1"/>
    <col min="8" max="16384" width="0" style="137" hidden="1"/>
  </cols>
  <sheetData>
    <row r="1" spans="1:7" ht="18.75">
      <c r="A1" s="157"/>
      <c r="B1" s="800">
        <v>4</v>
      </c>
      <c r="C1" s="800"/>
      <c r="D1" s="339"/>
      <c r="E1" s="340"/>
      <c r="F1" s="138" t="s">
        <v>694</v>
      </c>
    </row>
    <row r="2" spans="1:7">
      <c r="A2" s="157"/>
      <c r="B2" s="801" t="s">
        <v>223</v>
      </c>
      <c r="C2" s="801"/>
      <c r="D2" s="157"/>
      <c r="E2" s="341"/>
      <c r="F2" s="341"/>
    </row>
    <row r="3" spans="1:7">
      <c r="A3" s="157"/>
      <c r="B3" s="88" t="s">
        <v>773</v>
      </c>
      <c r="C3" s="157"/>
      <c r="D3" s="157"/>
      <c r="E3" s="341"/>
      <c r="F3"/>
    </row>
    <row r="4" spans="1:7" ht="12.75" customHeight="1" thickBot="1">
      <c r="B4" s="342"/>
      <c r="C4" s="343"/>
      <c r="F4" s="212"/>
    </row>
    <row r="5" spans="1:7" ht="32.25" customHeight="1" thickTop="1">
      <c r="A5" s="789" t="s">
        <v>0</v>
      </c>
      <c r="B5" s="791">
        <v>7.2016</v>
      </c>
      <c r="C5" s="795" t="s">
        <v>42</v>
      </c>
      <c r="D5" s="797" t="s">
        <v>14</v>
      </c>
      <c r="E5" s="346" t="s">
        <v>341</v>
      </c>
      <c r="F5" s="347" t="s">
        <v>771</v>
      </c>
    </row>
    <row r="6" spans="1:7" ht="15.75">
      <c r="A6" s="790"/>
      <c r="B6" s="792"/>
      <c r="C6" s="796"/>
      <c r="D6" s="798"/>
      <c r="E6" s="348">
        <v>2015</v>
      </c>
      <c r="F6" s="669">
        <f>$B$5</f>
        <v>7.2016</v>
      </c>
    </row>
    <row r="7" spans="1:7">
      <c r="A7" s="349">
        <v>1</v>
      </c>
      <c r="B7" s="350">
        <v>2</v>
      </c>
      <c r="C7" s="351">
        <v>3</v>
      </c>
      <c r="D7" s="351">
        <v>4</v>
      </c>
      <c r="E7" s="352">
        <v>5</v>
      </c>
      <c r="F7" s="525">
        <v>6</v>
      </c>
    </row>
    <row r="8" spans="1:7" s="207" customFormat="1" ht="15" customHeight="1">
      <c r="A8" s="383">
        <v>1</v>
      </c>
      <c r="B8" s="353" t="s">
        <v>544</v>
      </c>
      <c r="C8" s="354" t="s">
        <v>226</v>
      </c>
      <c r="D8" s="112" t="s">
        <v>70</v>
      </c>
      <c r="E8" s="355">
        <f>SUM(E9:E10)</f>
        <v>9000</v>
      </c>
      <c r="F8" s="435">
        <v>10000</v>
      </c>
      <c r="G8" s="137"/>
    </row>
    <row r="9" spans="1:7" s="207" customFormat="1" ht="15.75">
      <c r="A9" s="367" t="s">
        <v>262</v>
      </c>
      <c r="B9" s="357" t="s">
        <v>545</v>
      </c>
      <c r="C9" s="354" t="s">
        <v>483</v>
      </c>
      <c r="D9" s="112" t="s">
        <v>70</v>
      </c>
      <c r="E9" s="358">
        <f>SUM(E12,'ТИП-ПРЕНОС'!D12)</f>
        <v>9000</v>
      </c>
      <c r="F9" s="436">
        <f>SUM(F12,'ТИП-ПРЕНОС'!E12)</f>
        <v>10000</v>
      </c>
      <c r="G9" s="137"/>
    </row>
    <row r="10" spans="1:7" s="207" customFormat="1" ht="15.75">
      <c r="A10" s="367" t="s">
        <v>263</v>
      </c>
      <c r="B10" s="357" t="s">
        <v>546</v>
      </c>
      <c r="C10" s="354" t="s">
        <v>484</v>
      </c>
      <c r="D10" s="112" t="s">
        <v>70</v>
      </c>
      <c r="E10" s="358">
        <f>SUM(E13,'ТИП-ПРЕНОС'!D33)</f>
        <v>0</v>
      </c>
      <c r="F10" s="436">
        <f>SUM(F13,'ТИП-ПРЕНОС'!E33)</f>
        <v>0</v>
      </c>
      <c r="G10" s="137"/>
    </row>
    <row r="11" spans="1:7" s="207" customFormat="1" ht="15.75">
      <c r="A11" s="383">
        <v>2</v>
      </c>
      <c r="B11" s="359" t="s">
        <v>515</v>
      </c>
      <c r="C11" s="354" t="s">
        <v>406</v>
      </c>
      <c r="D11" s="112" t="s">
        <v>70</v>
      </c>
      <c r="E11" s="360">
        <f>SUM(E12:E13)</f>
        <v>9000</v>
      </c>
      <c r="F11" s="437">
        <f>SUM(F12:F13)</f>
        <v>10000</v>
      </c>
      <c r="G11" s="137"/>
    </row>
    <row r="12" spans="1:7" s="207" customFormat="1" ht="15.75">
      <c r="A12" s="383" t="s">
        <v>278</v>
      </c>
      <c r="B12" s="357" t="s">
        <v>20</v>
      </c>
      <c r="C12" s="354" t="s">
        <v>485</v>
      </c>
      <c r="D12" s="112" t="s">
        <v>70</v>
      </c>
      <c r="E12" s="95">
        <v>9000</v>
      </c>
      <c r="F12" s="438">
        <v>10000</v>
      </c>
      <c r="G12" s="137"/>
    </row>
    <row r="13" spans="1:7" s="207" customFormat="1" ht="15.75">
      <c r="A13" s="383" t="s">
        <v>279</v>
      </c>
      <c r="B13" s="357" t="s">
        <v>227</v>
      </c>
      <c r="C13" s="354" t="s">
        <v>486</v>
      </c>
      <c r="D13" s="112" t="s">
        <v>70</v>
      </c>
      <c r="E13" s="95"/>
      <c r="F13" s="438"/>
      <c r="G13" s="137"/>
    </row>
    <row r="14" spans="1:7" s="207" customFormat="1" ht="15.75">
      <c r="A14" s="383">
        <v>3</v>
      </c>
      <c r="B14" s="359" t="s">
        <v>192</v>
      </c>
      <c r="C14" s="354" t="s">
        <v>406</v>
      </c>
      <c r="D14" s="112" t="s">
        <v>70</v>
      </c>
      <c r="E14" s="361">
        <f>SUM(E15:E16)</f>
        <v>0</v>
      </c>
      <c r="F14" s="439">
        <f>SUM(F15:F16)</f>
        <v>0</v>
      </c>
      <c r="G14" s="137"/>
    </row>
    <row r="15" spans="1:7" s="207" customFormat="1" ht="15.75">
      <c r="A15" s="383" t="s">
        <v>267</v>
      </c>
      <c r="B15" s="357" t="s">
        <v>20</v>
      </c>
      <c r="C15" s="354" t="s">
        <v>485</v>
      </c>
      <c r="D15" s="112" t="s">
        <v>70</v>
      </c>
      <c r="E15" s="89"/>
      <c r="F15" s="430"/>
      <c r="G15" s="137"/>
    </row>
    <row r="16" spans="1:7" s="207" customFormat="1" ht="15.75">
      <c r="A16" s="383" t="s">
        <v>268</v>
      </c>
      <c r="B16" s="357" t="s">
        <v>227</v>
      </c>
      <c r="C16" s="354" t="s">
        <v>486</v>
      </c>
      <c r="D16" s="112" t="s">
        <v>70</v>
      </c>
      <c r="E16" s="89"/>
      <c r="F16" s="430"/>
      <c r="G16" s="137"/>
    </row>
    <row r="17" spans="1:7" s="207" customFormat="1" ht="15.75">
      <c r="A17" s="383">
        <v>4</v>
      </c>
      <c r="B17" s="359" t="s">
        <v>192</v>
      </c>
      <c r="C17" s="354" t="s">
        <v>406</v>
      </c>
      <c r="D17" s="112" t="s">
        <v>7</v>
      </c>
      <c r="E17" s="362">
        <f t="shared" ref="E17:F19" si="0">IF(E20=0,0,E14/E20)</f>
        <v>0</v>
      </c>
      <c r="F17" s="440">
        <f t="shared" si="0"/>
        <v>0</v>
      </c>
      <c r="G17" s="137"/>
    </row>
    <row r="18" spans="1:7" s="207" customFormat="1" ht="15.75">
      <c r="A18" s="383" t="s">
        <v>257</v>
      </c>
      <c r="B18" s="357" t="s">
        <v>20</v>
      </c>
      <c r="C18" s="354" t="s">
        <v>485</v>
      </c>
      <c r="D18" s="112" t="s">
        <v>7</v>
      </c>
      <c r="E18" s="362">
        <f t="shared" si="0"/>
        <v>0</v>
      </c>
      <c r="F18" s="440">
        <f t="shared" si="0"/>
        <v>0</v>
      </c>
      <c r="G18" s="137"/>
    </row>
    <row r="19" spans="1:7" s="207" customFormat="1" ht="15.75">
      <c r="A19" s="383" t="s">
        <v>258</v>
      </c>
      <c r="B19" s="357" t="s">
        <v>227</v>
      </c>
      <c r="C19" s="354" t="s">
        <v>486</v>
      </c>
      <c r="D19" s="112" t="s">
        <v>7</v>
      </c>
      <c r="E19" s="362">
        <f t="shared" si="0"/>
        <v>0</v>
      </c>
      <c r="F19" s="440">
        <f t="shared" si="0"/>
        <v>0</v>
      </c>
      <c r="G19" s="137"/>
    </row>
    <row r="20" spans="1:7" ht="15.75">
      <c r="A20" s="367">
        <v>5</v>
      </c>
      <c r="B20" s="359" t="s">
        <v>549</v>
      </c>
      <c r="C20" s="112" t="s">
        <v>225</v>
      </c>
      <c r="D20" s="112" t="s">
        <v>70</v>
      </c>
      <c r="E20" s="355">
        <f>SUM(E21:E22)</f>
        <v>9000</v>
      </c>
      <c r="F20" s="435">
        <v>10000</v>
      </c>
    </row>
    <row r="21" spans="1:7" ht="15.75">
      <c r="A21" s="367" t="s">
        <v>269</v>
      </c>
      <c r="B21" s="357" t="s">
        <v>20</v>
      </c>
      <c r="C21" s="112" t="s">
        <v>352</v>
      </c>
      <c r="D21" s="112" t="s">
        <v>70</v>
      </c>
      <c r="E21" s="363">
        <f>SUM(E9,E15)</f>
        <v>9000</v>
      </c>
      <c r="F21" s="363">
        <f>SUM(F9,F15)</f>
        <v>10000</v>
      </c>
    </row>
    <row r="22" spans="1:7" ht="16.5" thickBot="1">
      <c r="A22" s="367" t="s">
        <v>270</v>
      </c>
      <c r="B22" s="357" t="s">
        <v>227</v>
      </c>
      <c r="C22" s="112" t="s">
        <v>353</v>
      </c>
      <c r="D22" s="112" t="s">
        <v>70</v>
      </c>
      <c r="E22" s="363">
        <f>SUM(E10,E16)</f>
        <v>0</v>
      </c>
      <c r="F22" s="441">
        <f>SUM(F10,F16)</f>
        <v>0</v>
      </c>
    </row>
    <row r="23" spans="1:7" ht="13.5" thickTop="1">
      <c r="A23" s="344"/>
      <c r="B23" s="364" t="s">
        <v>474</v>
      </c>
      <c r="C23" s="345" t="s">
        <v>42</v>
      </c>
      <c r="D23" s="345" t="s">
        <v>14</v>
      </c>
      <c r="E23" s="365"/>
      <c r="F23" s="366"/>
    </row>
    <row r="24" spans="1:7" ht="15.75">
      <c r="A24" s="367">
        <v>6</v>
      </c>
      <c r="B24" s="359" t="s">
        <v>479</v>
      </c>
      <c r="C24" s="112" t="s">
        <v>757</v>
      </c>
      <c r="D24" s="116" t="s">
        <v>70</v>
      </c>
      <c r="E24" s="368">
        <f>SUM(E25:E26)</f>
        <v>9000</v>
      </c>
      <c r="F24" s="368">
        <f>SUM(F25:F26)</f>
        <v>10000</v>
      </c>
    </row>
    <row r="25" spans="1:7" ht="15.75">
      <c r="A25" s="367" t="s">
        <v>510</v>
      </c>
      <c r="B25" s="357" t="s">
        <v>20</v>
      </c>
      <c r="C25" s="112" t="s">
        <v>476</v>
      </c>
      <c r="D25" s="116" t="s">
        <v>70</v>
      </c>
      <c r="E25" s="429">
        <v>9000</v>
      </c>
      <c r="F25" s="430">
        <v>10000</v>
      </c>
    </row>
    <row r="26" spans="1:7" ht="15.75">
      <c r="A26" s="367" t="s">
        <v>511</v>
      </c>
      <c r="B26" s="357" t="s">
        <v>227</v>
      </c>
      <c r="C26" s="112" t="s">
        <v>475</v>
      </c>
      <c r="D26" s="116" t="s">
        <v>70</v>
      </c>
      <c r="E26" s="429"/>
      <c r="F26" s="430"/>
    </row>
    <row r="27" spans="1:7" ht="15.75">
      <c r="A27" s="367">
        <v>7</v>
      </c>
      <c r="B27" s="369" t="s">
        <v>190</v>
      </c>
      <c r="C27" s="356" t="s">
        <v>15</v>
      </c>
      <c r="D27" s="356" t="s">
        <v>70</v>
      </c>
      <c r="E27" s="93">
        <v>9800</v>
      </c>
      <c r="F27" s="442">
        <v>11000</v>
      </c>
    </row>
    <row r="28" spans="1:7">
      <c r="A28" s="367" t="s">
        <v>516</v>
      </c>
      <c r="B28" s="370" t="s">
        <v>419</v>
      </c>
      <c r="C28" s="356" t="s">
        <v>420</v>
      </c>
      <c r="D28" s="356" t="s">
        <v>70</v>
      </c>
      <c r="E28" s="89"/>
      <c r="F28" s="430"/>
    </row>
    <row r="29" spans="1:7">
      <c r="A29" s="367" t="s">
        <v>517</v>
      </c>
      <c r="B29" s="370" t="s">
        <v>355</v>
      </c>
      <c r="C29" s="356" t="s">
        <v>354</v>
      </c>
      <c r="D29" s="356" t="s">
        <v>70</v>
      </c>
      <c r="E29" s="363">
        <f>SUM(E27,-E30)</f>
        <v>9800</v>
      </c>
      <c r="F29" s="441">
        <f>SUM(F27,-F30)</f>
        <v>11000</v>
      </c>
    </row>
    <row r="30" spans="1:7">
      <c r="A30" s="367" t="s">
        <v>518</v>
      </c>
      <c r="B30" s="370" t="s">
        <v>634</v>
      </c>
      <c r="C30" s="356" t="s">
        <v>498</v>
      </c>
      <c r="D30" s="356" t="s">
        <v>70</v>
      </c>
      <c r="E30" s="89"/>
      <c r="F30" s="430"/>
    </row>
    <row r="31" spans="1:7" ht="14.25">
      <c r="A31" s="367">
        <v>8</v>
      </c>
      <c r="B31" s="371" t="s">
        <v>504</v>
      </c>
      <c r="C31" s="356" t="s">
        <v>428</v>
      </c>
      <c r="D31" s="356" t="s">
        <v>383</v>
      </c>
      <c r="E31" s="358">
        <f>E32*860/7000</f>
        <v>3174.8570857142859</v>
      </c>
      <c r="F31" s="436">
        <f>F32*860/7000</f>
        <v>3596.571477142857</v>
      </c>
    </row>
    <row r="32" spans="1:7" ht="15.75">
      <c r="A32" s="367">
        <v>9</v>
      </c>
      <c r="B32" s="371" t="s">
        <v>502</v>
      </c>
      <c r="C32" s="356" t="s">
        <v>746</v>
      </c>
      <c r="D32" s="112" t="s">
        <v>70</v>
      </c>
      <c r="E32" s="361">
        <f>ROUND(SUMPRODUCT(E33:E37,E$75:E$79)/860,3)</f>
        <v>25841.86</v>
      </c>
      <c r="F32" s="439">
        <f>ROUND(SUMPRODUCT(F33:F37,F$75:F$79)/860,3)</f>
        <v>29274.419000000002</v>
      </c>
      <c r="G32" s="372"/>
    </row>
    <row r="33" spans="1:7" ht="15.75">
      <c r="A33" s="367" t="s">
        <v>519</v>
      </c>
      <c r="B33" s="213" t="s">
        <v>9</v>
      </c>
      <c r="C33" s="112" t="s">
        <v>21</v>
      </c>
      <c r="D33" s="112" t="s">
        <v>381</v>
      </c>
      <c r="E33" s="89">
        <f>2978-200</f>
        <v>2778</v>
      </c>
      <c r="F33" s="700">
        <f>3247-100</f>
        <v>3147</v>
      </c>
      <c r="G33" s="373"/>
    </row>
    <row r="34" spans="1:7">
      <c r="A34" s="367" t="s">
        <v>520</v>
      </c>
      <c r="B34" s="213" t="s">
        <v>10</v>
      </c>
      <c r="C34" s="112" t="s">
        <v>22</v>
      </c>
      <c r="D34" s="112" t="s">
        <v>23</v>
      </c>
      <c r="E34" s="89"/>
      <c r="F34" s="430"/>
    </row>
    <row r="35" spans="1:7">
      <c r="A35" s="367" t="s">
        <v>521</v>
      </c>
      <c r="B35" s="213" t="s">
        <v>12</v>
      </c>
      <c r="C35" s="112" t="s">
        <v>24</v>
      </c>
      <c r="D35" s="112" t="s">
        <v>23</v>
      </c>
      <c r="E35" s="89"/>
      <c r="F35" s="430"/>
      <c r="G35" s="372"/>
    </row>
    <row r="36" spans="1:7">
      <c r="A36" s="367" t="s">
        <v>522</v>
      </c>
      <c r="B36" s="213" t="s">
        <v>11</v>
      </c>
      <c r="C36" s="112" t="s">
        <v>25</v>
      </c>
      <c r="D36" s="112" t="s">
        <v>23</v>
      </c>
      <c r="E36" s="89"/>
      <c r="F36" s="430"/>
      <c r="G36" s="372"/>
    </row>
    <row r="37" spans="1:7" ht="15.75">
      <c r="A37" s="367" t="s">
        <v>523</v>
      </c>
      <c r="B37" s="434" t="s">
        <v>378</v>
      </c>
      <c r="C37" s="112" t="s">
        <v>425</v>
      </c>
      <c r="D37" s="112" t="s">
        <v>441</v>
      </c>
      <c r="E37" s="89"/>
      <c r="F37" s="430"/>
      <c r="G37" s="373"/>
    </row>
    <row r="38" spans="1:7" ht="14.25">
      <c r="A38" s="367">
        <v>10</v>
      </c>
      <c r="B38" s="375">
        <f>B93</f>
        <v>0.6</v>
      </c>
      <c r="C38" s="356" t="s">
        <v>514</v>
      </c>
      <c r="D38" s="356" t="s">
        <v>358</v>
      </c>
      <c r="E38" s="363">
        <f>E33*E$80/860*3.6</f>
        <v>103496.65116279069</v>
      </c>
      <c r="F38" s="441">
        <f>F33*F$80/860*3.6</f>
        <v>117244.04651162791</v>
      </c>
    </row>
    <row r="39" spans="1:7" ht="14.25">
      <c r="A39" s="367">
        <v>11</v>
      </c>
      <c r="B39" s="376">
        <f>B94</f>
        <v>0.6</v>
      </c>
      <c r="C39" s="356" t="s">
        <v>430</v>
      </c>
      <c r="D39" s="356" t="s">
        <v>358</v>
      </c>
      <c r="E39" s="363">
        <f>E36*E$83/860*3.6*(1-Коефициенти!E22)</f>
        <v>0</v>
      </c>
      <c r="F39" s="441">
        <f>F36*F$83/860*3.6*(1-Коефициенти!F22)</f>
        <v>0</v>
      </c>
    </row>
    <row r="40" spans="1:7" ht="15.75">
      <c r="A40" s="367">
        <v>12</v>
      </c>
      <c r="B40" s="371" t="s">
        <v>418</v>
      </c>
      <c r="C40" s="377" t="s">
        <v>481</v>
      </c>
      <c r="D40" s="377" t="s">
        <v>7</v>
      </c>
      <c r="E40" s="378">
        <f>IF(Коефициенти!E18=0,0,IF(Коефициенти!E17=0,0,IF((Коефициенти!E21/Коефициенти!E18+Коефициенти!E20/Коефициенти!E17)=0,0,1-1/(Коефициенти!E21/Коефициенти!E18+Коефициенти!E20/Коефициенти!E17))))</f>
        <v>0.13102042058923136</v>
      </c>
      <c r="F40" s="443">
        <f>IF(Коефициенти!F18=0,0,IF(Коефициенти!F17=0,0,IF((Коефициенти!F21/Коефициенти!F18+Коефициенти!F20/Коефициенти!F17)=0,0,1-1/(Коефициенти!F21/Коефициенти!F18+Коефициенти!F20/Коефициенти!F17))))</f>
        <v>0.11999501310797178</v>
      </c>
    </row>
    <row r="41" spans="1:7" ht="15.75">
      <c r="A41" s="367">
        <v>13</v>
      </c>
      <c r="B41" s="124" t="s">
        <v>482</v>
      </c>
      <c r="C41" s="112" t="s">
        <v>490</v>
      </c>
      <c r="D41" s="112" t="s">
        <v>7</v>
      </c>
      <c r="E41" s="379">
        <f>Коефициенти!E19</f>
        <v>0.72750181294999661</v>
      </c>
      <c r="F41" s="443">
        <f>Коефициенти!F19</f>
        <v>0.71734984731891682</v>
      </c>
    </row>
    <row r="42" spans="1:7" ht="15">
      <c r="A42" s="367">
        <v>14</v>
      </c>
      <c r="B42" s="381" t="s">
        <v>543</v>
      </c>
      <c r="C42" s="112" t="s">
        <v>491</v>
      </c>
      <c r="D42" s="116" t="s">
        <v>35</v>
      </c>
      <c r="E42" s="382">
        <f>ROUND(IF(E27=0,0,E31*Коефициенти!E24*1000/E27),2)</f>
        <v>215.03</v>
      </c>
      <c r="F42" s="445">
        <f>ROUND(IF(F27=0,0,F31*Коефициенти!F24*1000/F27),2)</f>
        <v>217.75</v>
      </c>
    </row>
    <row r="43" spans="1:7" ht="16.5" thickBot="1">
      <c r="A43" s="464">
        <v>15</v>
      </c>
      <c r="B43" s="473" t="s">
        <v>193</v>
      </c>
      <c r="C43" s="466" t="s">
        <v>492</v>
      </c>
      <c r="D43" s="474" t="s">
        <v>203</v>
      </c>
      <c r="E43" s="475">
        <f>IF(E24=0,0,ROUND(E31*(1-Коефициенти!E24)*1000/E24,2))</f>
        <v>118.62</v>
      </c>
      <c r="F43" s="476">
        <f>IF(F24=0,0,ROUND(F31*(1-Коефициенти!F24)*1000/F24,2))</f>
        <v>120.13</v>
      </c>
    </row>
    <row r="44" spans="1:7" ht="13.5" thickTop="1">
      <c r="A44" s="469"/>
      <c r="B44" s="470" t="s">
        <v>487</v>
      </c>
      <c r="C44" s="471"/>
      <c r="D44" s="472"/>
      <c r="E44" s="408"/>
      <c r="F44" s="453"/>
    </row>
    <row r="45" spans="1:7" ht="15.75">
      <c r="A45" s="383">
        <v>16</v>
      </c>
      <c r="B45" s="359" t="s">
        <v>488</v>
      </c>
      <c r="C45" s="112" t="s">
        <v>758</v>
      </c>
      <c r="D45" s="384" t="s">
        <v>70</v>
      </c>
      <c r="E45" s="385">
        <f>SUM(E46:E47)</f>
        <v>0</v>
      </c>
      <c r="F45" s="446">
        <f>SUM(F46:F47)</f>
        <v>0</v>
      </c>
    </row>
    <row r="46" spans="1:7" ht="15.75">
      <c r="A46" s="383" t="s">
        <v>613</v>
      </c>
      <c r="B46" s="357" t="s">
        <v>20</v>
      </c>
      <c r="C46" s="112" t="s">
        <v>476</v>
      </c>
      <c r="D46" s="384" t="s">
        <v>70</v>
      </c>
      <c r="E46" s="363">
        <f>SUM(E21,-E25)</f>
        <v>0</v>
      </c>
      <c r="F46" s="441">
        <f>SUM(F21,-F25)</f>
        <v>0</v>
      </c>
    </row>
    <row r="47" spans="1:7" ht="15.75">
      <c r="A47" s="383" t="s">
        <v>614</v>
      </c>
      <c r="B47" s="357" t="s">
        <v>227</v>
      </c>
      <c r="C47" s="112" t="s">
        <v>475</v>
      </c>
      <c r="D47" s="384" t="s">
        <v>70</v>
      </c>
      <c r="E47" s="363">
        <f>SUM(E22,-E26)</f>
        <v>0</v>
      </c>
      <c r="F47" s="441">
        <f>SUM(F22,-F26)</f>
        <v>0</v>
      </c>
    </row>
    <row r="48" spans="1:7">
      <c r="A48" s="383">
        <v>17</v>
      </c>
      <c r="B48" s="371" t="s">
        <v>505</v>
      </c>
      <c r="C48" s="356" t="s">
        <v>477</v>
      </c>
      <c r="D48" s="386" t="s">
        <v>478</v>
      </c>
      <c r="E48" s="358">
        <f>E49*860/7000</f>
        <v>0</v>
      </c>
      <c r="F48" s="436">
        <f>F49*860/7000</f>
        <v>0</v>
      </c>
    </row>
    <row r="49" spans="1:7" ht="15.75">
      <c r="A49" s="367">
        <v>18</v>
      </c>
      <c r="B49" s="371" t="s">
        <v>506</v>
      </c>
      <c r="C49" s="356" t="s">
        <v>747</v>
      </c>
      <c r="D49" s="112" t="s">
        <v>70</v>
      </c>
      <c r="E49" s="361">
        <f>ROUND(SUMPRODUCT(E50:E54,E$75:E$79)/860,3)</f>
        <v>0</v>
      </c>
      <c r="F49" s="439">
        <f>ROUND(SUMPRODUCT(F50:F54,F$75:F$79)/860,3)</f>
        <v>0</v>
      </c>
    </row>
    <row r="50" spans="1:7">
      <c r="A50" s="367" t="s">
        <v>524</v>
      </c>
      <c r="B50" s="213" t="s">
        <v>9</v>
      </c>
      <c r="C50" s="112" t="s">
        <v>493</v>
      </c>
      <c r="D50" s="116" t="s">
        <v>480</v>
      </c>
      <c r="E50" s="89"/>
      <c r="F50" s="430"/>
    </row>
    <row r="51" spans="1:7">
      <c r="A51" s="367" t="s">
        <v>525</v>
      </c>
      <c r="B51" s="213" t="s">
        <v>10</v>
      </c>
      <c r="C51" s="112" t="s">
        <v>494</v>
      </c>
      <c r="D51" s="116" t="s">
        <v>23</v>
      </c>
      <c r="E51" s="89"/>
      <c r="F51" s="430"/>
    </row>
    <row r="52" spans="1:7">
      <c r="A52" s="367" t="s">
        <v>615</v>
      </c>
      <c r="B52" s="213" t="s">
        <v>12</v>
      </c>
      <c r="C52" s="112" t="s">
        <v>496</v>
      </c>
      <c r="D52" s="116" t="s">
        <v>23</v>
      </c>
      <c r="E52" s="89"/>
      <c r="F52" s="430"/>
    </row>
    <row r="53" spans="1:7">
      <c r="A53" s="367" t="s">
        <v>616</v>
      </c>
      <c r="B53" s="213" t="s">
        <v>11</v>
      </c>
      <c r="C53" s="112" t="s">
        <v>25</v>
      </c>
      <c r="D53" s="116" t="s">
        <v>23</v>
      </c>
      <c r="E53" s="89"/>
      <c r="F53" s="430"/>
    </row>
    <row r="54" spans="1:7" ht="15.75">
      <c r="A54" s="367" t="s">
        <v>617</v>
      </c>
      <c r="B54" s="374" t="s">
        <v>378</v>
      </c>
      <c r="C54" s="112" t="s">
        <v>495</v>
      </c>
      <c r="D54" s="112" t="s">
        <v>441</v>
      </c>
      <c r="E54" s="89"/>
      <c r="F54" s="430"/>
    </row>
    <row r="55" spans="1:7" ht="14.25">
      <c r="A55" s="367">
        <v>19</v>
      </c>
      <c r="B55" s="387">
        <f>B93</f>
        <v>0.6</v>
      </c>
      <c r="C55" s="356" t="s">
        <v>429</v>
      </c>
      <c r="D55" s="356" t="s">
        <v>358</v>
      </c>
      <c r="E55" s="363">
        <f>E50*E$80/860*3.6</f>
        <v>0</v>
      </c>
      <c r="F55" s="441">
        <f>F50*F$80/860*3.6</f>
        <v>0</v>
      </c>
    </row>
    <row r="56" spans="1:7" ht="14.25">
      <c r="A56" s="367">
        <v>20</v>
      </c>
      <c r="B56" s="388">
        <f>B94</f>
        <v>0.6</v>
      </c>
      <c r="C56" s="356" t="s">
        <v>430</v>
      </c>
      <c r="D56" s="356" t="s">
        <v>358</v>
      </c>
      <c r="E56" s="363">
        <f>E53*E$83/860*3.6</f>
        <v>0</v>
      </c>
      <c r="F56" s="441">
        <f>F53*F$83/860*3.6</f>
        <v>0</v>
      </c>
    </row>
    <row r="57" spans="1:7" ht="15.75">
      <c r="A57" s="367">
        <v>21</v>
      </c>
      <c r="B57" s="124" t="s">
        <v>489</v>
      </c>
      <c r="C57" s="112" t="s">
        <v>507</v>
      </c>
      <c r="D57" s="116" t="s">
        <v>7</v>
      </c>
      <c r="E57" s="389">
        <f>IF(E49=0,0,E45/E49)</f>
        <v>0</v>
      </c>
      <c r="F57" s="447">
        <f>IF(F49=0,0,F45/F49)</f>
        <v>0</v>
      </c>
    </row>
    <row r="58" spans="1:7" ht="16.5" thickBot="1">
      <c r="A58" s="464">
        <v>22</v>
      </c>
      <c r="B58" s="478" t="s">
        <v>503</v>
      </c>
      <c r="C58" s="466" t="s">
        <v>508</v>
      </c>
      <c r="D58" s="474" t="s">
        <v>203</v>
      </c>
      <c r="E58" s="475">
        <f>ROUND(IF(E45=0,0,E48*1000/E45),2)</f>
        <v>0</v>
      </c>
      <c r="F58" s="476">
        <f>ROUND(IF(F45=0,0,F48*1000/F45),2)</f>
        <v>0</v>
      </c>
    </row>
    <row r="59" spans="1:7" s="207" customFormat="1" ht="16.5" thickTop="1">
      <c r="A59" s="469"/>
      <c r="B59" s="477" t="s">
        <v>497</v>
      </c>
      <c r="C59" s="471"/>
      <c r="D59" s="472"/>
      <c r="E59" s="408"/>
      <c r="F59" s="453"/>
    </row>
    <row r="60" spans="1:7" s="207" customFormat="1">
      <c r="A60" s="367">
        <v>23</v>
      </c>
      <c r="B60" s="132" t="s">
        <v>401</v>
      </c>
      <c r="C60" s="112" t="s">
        <v>16</v>
      </c>
      <c r="D60" s="356" t="s">
        <v>70</v>
      </c>
      <c r="E60" s="668">
        <f>SUM(E27,-E64)</f>
        <v>870</v>
      </c>
      <c r="F60" s="668">
        <f>SUM(F27,-F64)</f>
        <v>1000</v>
      </c>
      <c r="G60" s="137"/>
    </row>
    <row r="61" spans="1:7" s="207" customFormat="1">
      <c r="A61" s="367" t="s">
        <v>632</v>
      </c>
      <c r="B61" s="390" t="s">
        <v>400</v>
      </c>
      <c r="C61" s="112" t="s">
        <v>17</v>
      </c>
      <c r="D61" s="356" t="s">
        <v>70</v>
      </c>
      <c r="E61" s="363">
        <f>SUM(E60,-E62)</f>
        <v>670</v>
      </c>
      <c r="F61" s="363">
        <f>SUM(F60,-F62)</f>
        <v>780</v>
      </c>
      <c r="G61" s="137"/>
    </row>
    <row r="62" spans="1:7" s="207" customFormat="1">
      <c r="A62" s="367" t="s">
        <v>631</v>
      </c>
      <c r="B62" s="390" t="s">
        <v>155</v>
      </c>
      <c r="C62" s="112" t="s">
        <v>18</v>
      </c>
      <c r="D62" s="356" t="s">
        <v>70</v>
      </c>
      <c r="E62" s="89">
        <v>200</v>
      </c>
      <c r="F62" s="691">
        <v>220</v>
      </c>
      <c r="G62" s="137"/>
    </row>
    <row r="63" spans="1:7" s="207" customFormat="1">
      <c r="A63" s="367" t="s">
        <v>633</v>
      </c>
      <c r="B63" s="391" t="s">
        <v>191</v>
      </c>
      <c r="C63" s="112" t="s">
        <v>16</v>
      </c>
      <c r="D63" s="112" t="s">
        <v>7</v>
      </c>
      <c r="E63" s="380">
        <f>IF(E27=0,0,E60/E27)</f>
        <v>8.8775510204081629E-2</v>
      </c>
      <c r="F63" s="444">
        <f>IF(F27=0,0,F60/F27)</f>
        <v>9.0909090909090912E-2</v>
      </c>
      <c r="G63" s="137"/>
    </row>
    <row r="64" spans="1:7" ht="15.75">
      <c r="A64" s="367">
        <v>24</v>
      </c>
      <c r="B64" s="392" t="s">
        <v>550</v>
      </c>
      <c r="C64" s="112" t="s">
        <v>19</v>
      </c>
      <c r="D64" s="356" t="s">
        <v>70</v>
      </c>
      <c r="E64" s="701">
        <f>SUM(E65:E67)</f>
        <v>8930</v>
      </c>
      <c r="F64" s="702">
        <f>F65</f>
        <v>10000</v>
      </c>
    </row>
    <row r="65" spans="1:7" ht="15.75">
      <c r="A65" s="367" t="s">
        <v>618</v>
      </c>
      <c r="B65" s="393" t="s">
        <v>499</v>
      </c>
      <c r="C65" s="112"/>
      <c r="D65" s="356" t="s">
        <v>70</v>
      </c>
      <c r="E65" s="691">
        <v>8930</v>
      </c>
      <c r="F65" s="695">
        <v>10000</v>
      </c>
    </row>
    <row r="66" spans="1:7" ht="15.75">
      <c r="A66" s="367" t="s">
        <v>619</v>
      </c>
      <c r="B66" s="393" t="s">
        <v>500</v>
      </c>
      <c r="C66" s="112"/>
      <c r="D66" s="356" t="s">
        <v>70</v>
      </c>
      <c r="E66" s="89"/>
      <c r="F66" s="430"/>
    </row>
    <row r="67" spans="1:7" s="342" customFormat="1" ht="15.75">
      <c r="A67" s="367" t="s">
        <v>620</v>
      </c>
      <c r="B67" s="394" t="s">
        <v>551</v>
      </c>
      <c r="C67" s="112"/>
      <c r="D67" s="356" t="s">
        <v>70</v>
      </c>
      <c r="E67" s="89"/>
      <c r="F67" s="430"/>
      <c r="G67" s="137"/>
    </row>
    <row r="68" spans="1:7" ht="15.75">
      <c r="A68" s="367">
        <v>25</v>
      </c>
      <c r="B68" s="395" t="s">
        <v>501</v>
      </c>
      <c r="C68" s="356" t="s">
        <v>428</v>
      </c>
      <c r="D68" s="356" t="s">
        <v>383</v>
      </c>
      <c r="E68" s="358">
        <f>E69*860/7000</f>
        <v>3174.8571428571427</v>
      </c>
      <c r="F68" s="436">
        <f>F69*860/7000</f>
        <v>3596.5714285714284</v>
      </c>
    </row>
    <row r="69" spans="1:7" ht="15.75">
      <c r="A69" s="367">
        <v>26</v>
      </c>
      <c r="B69" s="371" t="s">
        <v>509</v>
      </c>
      <c r="C69" s="356" t="s">
        <v>427</v>
      </c>
      <c r="D69" s="112" t="s">
        <v>70</v>
      </c>
      <c r="E69" s="358">
        <f>SUMPRODUCT(E70:E74,E75:E79)/860</f>
        <v>25841.860465116279</v>
      </c>
      <c r="F69" s="436">
        <f>SUMPRODUCT(F70:F74,F75:F79)/860</f>
        <v>29274.418604651164</v>
      </c>
    </row>
    <row r="70" spans="1:7" ht="15.75">
      <c r="A70" s="367" t="s">
        <v>621</v>
      </c>
      <c r="B70" s="396" t="s">
        <v>9</v>
      </c>
      <c r="C70" s="112" t="s">
        <v>21</v>
      </c>
      <c r="D70" s="112" t="s">
        <v>381</v>
      </c>
      <c r="E70" s="397">
        <f t="shared" ref="E70:F74" si="1">SUM(E33,E50)</f>
        <v>2778</v>
      </c>
      <c r="F70" s="448">
        <f t="shared" si="1"/>
        <v>3147</v>
      </c>
    </row>
    <row r="71" spans="1:7" ht="15">
      <c r="A71" s="367" t="s">
        <v>622</v>
      </c>
      <c r="B71" s="396" t="s">
        <v>10</v>
      </c>
      <c r="C71" s="112" t="s">
        <v>22</v>
      </c>
      <c r="D71" s="112" t="s">
        <v>23</v>
      </c>
      <c r="E71" s="397">
        <f t="shared" si="1"/>
        <v>0</v>
      </c>
      <c r="F71" s="448">
        <f t="shared" si="1"/>
        <v>0</v>
      </c>
    </row>
    <row r="72" spans="1:7" ht="15">
      <c r="A72" s="367" t="s">
        <v>623</v>
      </c>
      <c r="B72" s="396" t="s">
        <v>12</v>
      </c>
      <c r="C72" s="112" t="s">
        <v>24</v>
      </c>
      <c r="D72" s="112" t="s">
        <v>23</v>
      </c>
      <c r="E72" s="397">
        <f t="shared" si="1"/>
        <v>0</v>
      </c>
      <c r="F72" s="448">
        <f t="shared" si="1"/>
        <v>0</v>
      </c>
    </row>
    <row r="73" spans="1:7" ht="15">
      <c r="A73" s="367" t="s">
        <v>624</v>
      </c>
      <c r="B73" s="396" t="s">
        <v>11</v>
      </c>
      <c r="C73" s="112" t="s">
        <v>25</v>
      </c>
      <c r="D73" s="112" t="s">
        <v>23</v>
      </c>
      <c r="E73" s="397">
        <f t="shared" si="1"/>
        <v>0</v>
      </c>
      <c r="F73" s="448">
        <f t="shared" si="1"/>
        <v>0</v>
      </c>
    </row>
    <row r="74" spans="1:7" ht="15.75">
      <c r="A74" s="367" t="s">
        <v>625</v>
      </c>
      <c r="B74" s="432" t="s">
        <v>378</v>
      </c>
      <c r="C74" s="112" t="s">
        <v>425</v>
      </c>
      <c r="D74" s="112" t="s">
        <v>441</v>
      </c>
      <c r="E74" s="397">
        <f t="shared" si="1"/>
        <v>0</v>
      </c>
      <c r="F74" s="448">
        <f t="shared" si="1"/>
        <v>0</v>
      </c>
    </row>
    <row r="75" spans="1:7" ht="15.75">
      <c r="A75" s="367" t="s">
        <v>626</v>
      </c>
      <c r="B75" s="398" t="s">
        <v>436</v>
      </c>
      <c r="C75" s="112" t="s">
        <v>759</v>
      </c>
      <c r="D75" s="112" t="s">
        <v>382</v>
      </c>
      <c r="E75" s="429">
        <v>8000</v>
      </c>
      <c r="F75" s="449">
        <v>8000</v>
      </c>
    </row>
    <row r="76" spans="1:7" ht="15.75">
      <c r="A76" s="367" t="s">
        <v>627</v>
      </c>
      <c r="B76" s="399" t="s">
        <v>10</v>
      </c>
      <c r="C76" s="112" t="s">
        <v>760</v>
      </c>
      <c r="D76" s="112" t="s">
        <v>28</v>
      </c>
      <c r="E76" s="429"/>
      <c r="F76" s="449"/>
    </row>
    <row r="77" spans="1:7" ht="15.75">
      <c r="A77" s="367" t="s">
        <v>628</v>
      </c>
      <c r="B77" s="399" t="s">
        <v>12</v>
      </c>
      <c r="C77" s="112" t="s">
        <v>761</v>
      </c>
      <c r="D77" s="112" t="s">
        <v>28</v>
      </c>
      <c r="E77" s="429"/>
      <c r="F77" s="449"/>
    </row>
    <row r="78" spans="1:7" ht="15.75">
      <c r="A78" s="367" t="s">
        <v>629</v>
      </c>
      <c r="B78" s="399" t="s">
        <v>11</v>
      </c>
      <c r="C78" s="112" t="s">
        <v>762</v>
      </c>
      <c r="D78" s="112" t="s">
        <v>28</v>
      </c>
      <c r="E78" s="429"/>
      <c r="F78" s="449"/>
    </row>
    <row r="79" spans="1:7" ht="15.75">
      <c r="A79" s="367" t="s">
        <v>630</v>
      </c>
      <c r="B79" s="432" t="s">
        <v>378</v>
      </c>
      <c r="C79" s="112" t="s">
        <v>763</v>
      </c>
      <c r="D79" s="400" t="s">
        <v>443</v>
      </c>
      <c r="E79" s="429"/>
      <c r="F79" s="449"/>
    </row>
    <row r="80" spans="1:7" ht="15.75">
      <c r="A80" s="367" t="s">
        <v>635</v>
      </c>
      <c r="B80" s="398" t="s">
        <v>435</v>
      </c>
      <c r="C80" s="112" t="s">
        <v>26</v>
      </c>
      <c r="D80" s="112" t="s">
        <v>382</v>
      </c>
      <c r="E80" s="429">
        <v>8900</v>
      </c>
      <c r="F80" s="449">
        <v>8900</v>
      </c>
    </row>
    <row r="81" spans="1:6" ht="15.75">
      <c r="A81" s="367" t="s">
        <v>636</v>
      </c>
      <c r="B81" s="399" t="s">
        <v>10</v>
      </c>
      <c r="C81" s="112" t="s">
        <v>27</v>
      </c>
      <c r="D81" s="112" t="s">
        <v>28</v>
      </c>
      <c r="E81" s="429"/>
      <c r="F81" s="449"/>
    </row>
    <row r="82" spans="1:6" ht="15.75">
      <c r="A82" s="367" t="s">
        <v>637</v>
      </c>
      <c r="B82" s="399" t="s">
        <v>12</v>
      </c>
      <c r="C82" s="112" t="s">
        <v>29</v>
      </c>
      <c r="D82" s="112" t="s">
        <v>28</v>
      </c>
      <c r="E82" s="429"/>
      <c r="F82" s="449"/>
    </row>
    <row r="83" spans="1:6" ht="15.75">
      <c r="A83" s="367" t="s">
        <v>638</v>
      </c>
      <c r="B83" s="401" t="s">
        <v>11</v>
      </c>
      <c r="C83" s="112" t="s">
        <v>30</v>
      </c>
      <c r="D83" s="112" t="s">
        <v>28</v>
      </c>
      <c r="E83" s="429"/>
      <c r="F83" s="449"/>
    </row>
    <row r="84" spans="1:6" ht="15.75">
      <c r="A84" s="367" t="s">
        <v>639</v>
      </c>
      <c r="B84" s="399" t="str">
        <f>$B$79</f>
        <v>друг вид гориво (ВЕИ)</v>
      </c>
      <c r="C84" s="112" t="s">
        <v>379</v>
      </c>
      <c r="D84" s="112" t="s">
        <v>426</v>
      </c>
      <c r="E84" s="429"/>
      <c r="F84" s="449"/>
    </row>
    <row r="85" spans="1:6" ht="15.75">
      <c r="A85" s="367">
        <v>29</v>
      </c>
      <c r="B85" s="402" t="s">
        <v>433</v>
      </c>
      <c r="C85" s="400" t="s">
        <v>357</v>
      </c>
      <c r="D85" s="112" t="s">
        <v>384</v>
      </c>
      <c r="E85" s="397">
        <f>IF(E69=0,0,SUMPRODUCT(E70:E74,E86:E90)/E69)</f>
        <v>57.578075000000005</v>
      </c>
      <c r="F85" s="448">
        <f>IF(F69=0,0,SUMPRODUCT(F70:F74,F86:F90)/F69)</f>
        <v>53.987574999999993</v>
      </c>
    </row>
    <row r="86" spans="1:6" ht="15.75">
      <c r="A86" s="367" t="s">
        <v>640</v>
      </c>
      <c r="B86" s="399" t="s">
        <v>356</v>
      </c>
      <c r="C86" s="400" t="s">
        <v>31</v>
      </c>
      <c r="D86" s="112" t="s">
        <v>385</v>
      </c>
      <c r="E86" s="431">
        <v>535.61</v>
      </c>
      <c r="F86" s="688">
        <f>190+312.21</f>
        <v>502.21</v>
      </c>
    </row>
    <row r="87" spans="1:6" ht="15.75">
      <c r="A87" s="367" t="s">
        <v>641</v>
      </c>
      <c r="B87" s="399" t="s">
        <v>10</v>
      </c>
      <c r="C87" s="400" t="s">
        <v>32</v>
      </c>
      <c r="D87" s="112" t="s">
        <v>386</v>
      </c>
      <c r="E87" s="431"/>
      <c r="F87" s="450"/>
    </row>
    <row r="88" spans="1:6" ht="15.75">
      <c r="A88" s="367" t="s">
        <v>642</v>
      </c>
      <c r="B88" s="399" t="s">
        <v>12</v>
      </c>
      <c r="C88" s="400" t="s">
        <v>33</v>
      </c>
      <c r="D88" s="112" t="s">
        <v>386</v>
      </c>
      <c r="E88" s="431"/>
      <c r="F88" s="450"/>
    </row>
    <row r="89" spans="1:6" ht="15.75">
      <c r="A89" s="367" t="s">
        <v>643</v>
      </c>
      <c r="B89" s="399" t="s">
        <v>11</v>
      </c>
      <c r="C89" s="400" t="s">
        <v>34</v>
      </c>
      <c r="D89" s="112" t="s">
        <v>386</v>
      </c>
      <c r="E89" s="431"/>
      <c r="F89" s="450"/>
    </row>
    <row r="90" spans="1:6" ht="15.75">
      <c r="A90" s="367" t="s">
        <v>644</v>
      </c>
      <c r="B90" s="399" t="str">
        <f>$B$79</f>
        <v>друг вид гориво (ВЕИ)</v>
      </c>
      <c r="C90" s="400" t="s">
        <v>380</v>
      </c>
      <c r="D90" s="400" t="s">
        <v>442</v>
      </c>
      <c r="E90" s="431"/>
      <c r="F90" s="450"/>
    </row>
    <row r="91" spans="1:6" ht="15.75">
      <c r="A91" s="367">
        <v>30</v>
      </c>
      <c r="B91" s="398" t="s">
        <v>548</v>
      </c>
      <c r="C91" s="112" t="s">
        <v>324</v>
      </c>
      <c r="D91" s="112" t="s">
        <v>35</v>
      </c>
      <c r="E91" s="403">
        <f>IF(E64=0,0,E27*E42/E64)</f>
        <v>235.97917133258679</v>
      </c>
      <c r="F91" s="451">
        <f>IF(F64=0,0,F27*F42/F64)</f>
        <v>239.52500000000001</v>
      </c>
    </row>
    <row r="92" spans="1:6" ht="15.75">
      <c r="A92" s="367">
        <v>31</v>
      </c>
      <c r="B92" s="404" t="s">
        <v>193</v>
      </c>
      <c r="C92" s="112" t="s">
        <v>325</v>
      </c>
      <c r="D92" s="112" t="s">
        <v>203</v>
      </c>
      <c r="E92" s="405">
        <f>IF(E8=0,0,SUM(E68,-E27*E42/1000)/E8*1000)</f>
        <v>118.61812698412697</v>
      </c>
      <c r="F92" s="452">
        <f>IF(F8=0,0,SUM(F68,-F27*F42/1000)/F8*1000)</f>
        <v>120.13214285714284</v>
      </c>
    </row>
    <row r="93" spans="1:6" ht="14.25">
      <c r="A93" s="367">
        <v>32</v>
      </c>
      <c r="B93" s="433">
        <v>0.6</v>
      </c>
      <c r="C93" s="356" t="s">
        <v>429</v>
      </c>
      <c r="D93" s="356" t="s">
        <v>358</v>
      </c>
      <c r="E93" s="363">
        <f>SUM(E38,E55)</f>
        <v>103496.65116279069</v>
      </c>
      <c r="F93" s="441">
        <f>SUM(F38,F55)</f>
        <v>117244.04651162791</v>
      </c>
    </row>
    <row r="94" spans="1:6" ht="14.25">
      <c r="A94" s="367">
        <v>33</v>
      </c>
      <c r="B94" s="684">
        <v>0.6</v>
      </c>
      <c r="C94" s="356" t="s">
        <v>430</v>
      </c>
      <c r="D94" s="356" t="s">
        <v>358</v>
      </c>
      <c r="E94" s="125">
        <f>SUM(E39,E56)</f>
        <v>0</v>
      </c>
      <c r="F94" s="441">
        <f>IF(F$49=0,0,SUM(F53*F83,F36*F83*(F51*F76/(F$49)))*0.86/3600000)</f>
        <v>0</v>
      </c>
    </row>
    <row r="95" spans="1:6" ht="18.75">
      <c r="A95" s="367">
        <v>34</v>
      </c>
      <c r="B95" s="398" t="s">
        <v>735</v>
      </c>
      <c r="C95" s="112"/>
      <c r="D95" s="112" t="s">
        <v>23</v>
      </c>
      <c r="E95" s="91"/>
      <c r="F95" s="450"/>
    </row>
    <row r="96" spans="1:6" ht="18.75">
      <c r="A96" s="367" t="s">
        <v>645</v>
      </c>
      <c r="B96" s="398" t="s">
        <v>736</v>
      </c>
      <c r="C96" s="112"/>
      <c r="D96" s="112" t="s">
        <v>23</v>
      </c>
      <c r="E96" s="397">
        <f>SUM(E95,-E97)</f>
        <v>0</v>
      </c>
      <c r="F96" s="448">
        <f>SUM(F95,-F97)</f>
        <v>0</v>
      </c>
    </row>
    <row r="97" spans="1:6" ht="18.75">
      <c r="A97" s="367" t="s">
        <v>646</v>
      </c>
      <c r="B97" s="398" t="s">
        <v>737</v>
      </c>
      <c r="C97" s="112"/>
      <c r="D97" s="112" t="s">
        <v>23</v>
      </c>
      <c r="E97" s="91"/>
      <c r="F97" s="450"/>
    </row>
    <row r="98" spans="1:6" ht="15.75">
      <c r="A98" s="367" t="s">
        <v>647</v>
      </c>
      <c r="B98" s="398" t="s">
        <v>432</v>
      </c>
      <c r="C98" s="112"/>
      <c r="D98" s="112" t="s">
        <v>23</v>
      </c>
      <c r="E98" s="91"/>
      <c r="F98" s="450"/>
    </row>
    <row r="99" spans="1:6" ht="15.75">
      <c r="A99" s="367" t="s">
        <v>648</v>
      </c>
      <c r="B99" s="398" t="s">
        <v>512</v>
      </c>
      <c r="C99" s="112"/>
      <c r="D99" s="112" t="s">
        <v>23</v>
      </c>
      <c r="E99" s="91"/>
      <c r="F99" s="450"/>
    </row>
    <row r="100" spans="1:6" ht="15.75">
      <c r="A100" s="367">
        <v>35</v>
      </c>
      <c r="B100" s="398" t="s">
        <v>513</v>
      </c>
      <c r="C100" s="112" t="s">
        <v>431</v>
      </c>
      <c r="D100" s="112" t="s">
        <v>386</v>
      </c>
      <c r="E100" s="91"/>
      <c r="F100" s="450"/>
    </row>
    <row r="101" spans="1:6" ht="15.75">
      <c r="A101" s="367">
        <v>36</v>
      </c>
      <c r="B101" s="398" t="s">
        <v>772</v>
      </c>
      <c r="C101" s="112" t="s">
        <v>431</v>
      </c>
      <c r="D101" s="112" t="s">
        <v>386</v>
      </c>
      <c r="E101" s="91"/>
      <c r="F101" s="450"/>
    </row>
    <row r="102" spans="1:6" ht="15.75">
      <c r="A102" s="406">
        <v>37</v>
      </c>
      <c r="B102" s="577" t="s">
        <v>97</v>
      </c>
      <c r="C102" s="407" t="s">
        <v>230</v>
      </c>
      <c r="D102" s="407" t="s">
        <v>164</v>
      </c>
      <c r="E102" s="408">
        <f>SUM(E103:E104)</f>
        <v>1</v>
      </c>
      <c r="F102" s="453">
        <f>SUM(F103:F104)</f>
        <v>1</v>
      </c>
    </row>
    <row r="103" spans="1:6" ht="15.75">
      <c r="A103" s="367" t="s">
        <v>649</v>
      </c>
      <c r="B103" s="399" t="s">
        <v>20</v>
      </c>
      <c r="C103" s="112" t="s">
        <v>231</v>
      </c>
      <c r="D103" s="112" t="s">
        <v>164</v>
      </c>
      <c r="E103" s="89">
        <v>1</v>
      </c>
      <c r="F103" s="430">
        <v>1</v>
      </c>
    </row>
    <row r="104" spans="1:6" ht="15.75">
      <c r="A104" s="367" t="s">
        <v>650</v>
      </c>
      <c r="B104" s="399" t="s">
        <v>227</v>
      </c>
      <c r="C104" s="112" t="s">
        <v>232</v>
      </c>
      <c r="D104" s="112" t="s">
        <v>164</v>
      </c>
      <c r="E104" s="89">
        <v>0</v>
      </c>
      <c r="F104" s="430">
        <v>0</v>
      </c>
    </row>
    <row r="105" spans="1:6" ht="15.75">
      <c r="A105" s="367">
        <v>38</v>
      </c>
      <c r="B105" s="578" t="s">
        <v>752</v>
      </c>
      <c r="C105" s="112" t="s">
        <v>234</v>
      </c>
      <c r="D105" s="409" t="s">
        <v>344</v>
      </c>
      <c r="E105" s="410">
        <f>SUM(E106:E107)</f>
        <v>1694.4759999999999</v>
      </c>
      <c r="F105" s="454">
        <f>SUM(F106:F107)</f>
        <v>1779.846</v>
      </c>
    </row>
    <row r="106" spans="1:6" ht="15.75">
      <c r="A106" s="367" t="s">
        <v>651</v>
      </c>
      <c r="B106" s="579" t="s">
        <v>253</v>
      </c>
      <c r="C106" s="112"/>
      <c r="D106" s="409" t="s">
        <v>344</v>
      </c>
      <c r="E106" s="410">
        <f>ROUND(IF(E$27=0,0,РБА!D$69*НВ!$F$21),3)</f>
        <v>156.81399999999999</v>
      </c>
      <c r="F106" s="454">
        <f>ROUND(IF(F$27=0,0,РБА!G69*НВ!G21),3)</f>
        <v>150.42599999999999</v>
      </c>
    </row>
    <row r="107" spans="1:6" ht="15.75">
      <c r="A107" s="367" t="s">
        <v>652</v>
      </c>
      <c r="B107" s="579" t="s">
        <v>252</v>
      </c>
      <c r="C107" s="178"/>
      <c r="D107" s="409" t="s">
        <v>344</v>
      </c>
      <c r="E107" s="410">
        <f>SUM(E108:E109)</f>
        <v>1537.6619999999998</v>
      </c>
      <c r="F107" s="454">
        <f>SUM(F108:F109)</f>
        <v>1629.42</v>
      </c>
    </row>
    <row r="108" spans="1:6" ht="15.75">
      <c r="A108" s="367" t="s">
        <v>653</v>
      </c>
      <c r="B108" s="579" t="s">
        <v>251</v>
      </c>
      <c r="C108" s="178"/>
      <c r="D108" s="409" t="s">
        <v>344</v>
      </c>
      <c r="E108" s="410">
        <f>ROUND(IF(E$27=0,0,SUM(Разходи!D$14,Разходи!D$19,SUM(Разходи!D11,-SUM(Разходи!D14:D15,Разходи!D19:D20))*Коефициенти!E27)),3)</f>
        <v>464.84</v>
      </c>
      <c r="F108" s="454">
        <f>ROUND(IF(F$27=0,0,SUM(Разходи!G$14,Разходи!G$19,SUM(Разходи!G11,-SUM(Разходи!G14:G15,Разходи!G19:G20))*Коефициенти!F27)),3)</f>
        <v>484.33300000000003</v>
      </c>
    </row>
    <row r="109" spans="1:6" ht="15.75">
      <c r="A109" s="367" t="s">
        <v>654</v>
      </c>
      <c r="B109" s="579" t="s">
        <v>250</v>
      </c>
      <c r="C109" s="178"/>
      <c r="D109" s="409" t="s">
        <v>344</v>
      </c>
      <c r="E109" s="410">
        <f>ROUND(IF(E$27=0,0,SUM(Разходи!D$85,SUM(Разходи!D$63,Разходи!D80)*Коефициенти!E22,SUM(Разходи!D75:D78)*Коефициенти!E24)*(1-E$62/E$27)),3)</f>
        <v>1072.8219999999999</v>
      </c>
      <c r="F109" s="454">
        <f>ROUND(IF(F$27=0,0,SUM(Разходи!G$85,SUM(Разходи!G$63,Разходи!G80)*Коефициенти!F22,SUM(Разходи!G75:G78)*Коефициенти!F24)*(1-F$62/F$27)),3)</f>
        <v>1145.087</v>
      </c>
    </row>
    <row r="110" spans="1:6" ht="15.75">
      <c r="A110" s="367">
        <v>39</v>
      </c>
      <c r="B110" s="411" t="s">
        <v>229</v>
      </c>
      <c r="C110" s="112" t="s">
        <v>233</v>
      </c>
      <c r="D110" s="112" t="s">
        <v>384</v>
      </c>
      <c r="E110" s="412">
        <f>IF(E$64=0,0,ROUND(E105/E$64*1000,2))</f>
        <v>189.75</v>
      </c>
      <c r="F110" s="455">
        <f>IF(F$64=0,0,ROUND(F105/F$64*1000,2))</f>
        <v>177.98</v>
      </c>
    </row>
    <row r="111" spans="1:6" ht="15.75">
      <c r="A111" s="367">
        <v>40</v>
      </c>
      <c r="B111" s="413" t="s">
        <v>434</v>
      </c>
      <c r="C111" s="112" t="s">
        <v>233</v>
      </c>
      <c r="D111" s="112" t="s">
        <v>384</v>
      </c>
      <c r="E111" s="414">
        <f>ROUND(IF(SUM(E$20,-E$14)=0,0,E112*1000/SUM(E$20,-E$14)),2)</f>
        <v>87.58</v>
      </c>
      <c r="F111" s="456">
        <f>ROUND(IF(SUM(F$20,-F$14)=0,0,F112*1000/SUM(F$20,-F$14)),2)</f>
        <v>83.19</v>
      </c>
    </row>
    <row r="112" spans="1:6" ht="15.75">
      <c r="A112" s="367" t="s">
        <v>655</v>
      </c>
      <c r="B112" s="580" t="s">
        <v>158</v>
      </c>
      <c r="C112" s="112" t="s">
        <v>239</v>
      </c>
      <c r="D112" s="409" t="s">
        <v>344</v>
      </c>
      <c r="E112" s="415">
        <f>SUM(Разходи!D8,-E$105)</f>
        <v>788.22060000000033</v>
      </c>
      <c r="F112" s="457">
        <f>SUM(Разходи!G8,-F$105)</f>
        <v>831.89519999999993</v>
      </c>
    </row>
    <row r="113" spans="1:7" ht="15.75">
      <c r="A113" s="367" t="s">
        <v>656</v>
      </c>
      <c r="B113" s="580" t="s">
        <v>753</v>
      </c>
      <c r="C113" s="112"/>
      <c r="D113" s="409" t="s">
        <v>344</v>
      </c>
      <c r="E113" s="416">
        <f>SUM(Разходи!D$9,-E$106)</f>
        <v>5.8596000000000004</v>
      </c>
      <c r="F113" s="458">
        <f>SUM(Разходи!G$9,-F$106)</f>
        <v>5.8602000000000203</v>
      </c>
    </row>
    <row r="114" spans="1:7" ht="14.25">
      <c r="A114" s="367" t="s">
        <v>657</v>
      </c>
      <c r="B114" s="581" t="s">
        <v>754</v>
      </c>
      <c r="C114" s="178"/>
      <c r="D114" s="409" t="s">
        <v>344</v>
      </c>
      <c r="E114" s="416">
        <f>SUM(Разходи!D$10,-E$107)</f>
        <v>782.36100000000033</v>
      </c>
      <c r="F114" s="458">
        <f>SUM(Разходи!G$10,-F$107)</f>
        <v>826.03499999999985</v>
      </c>
    </row>
    <row r="115" spans="1:7" ht="14.25">
      <c r="A115" s="367" t="s">
        <v>658</v>
      </c>
      <c r="B115" s="581" t="s">
        <v>755</v>
      </c>
      <c r="C115" s="178"/>
      <c r="D115" s="409" t="s">
        <v>344</v>
      </c>
      <c r="E115" s="416">
        <f>SUM(Разходи!D$11,-E$108)</f>
        <v>205.16000000000003</v>
      </c>
      <c r="F115" s="458">
        <f>SUM(Разходи!G$11,-F$108)</f>
        <v>216.66699999999997</v>
      </c>
    </row>
    <row r="116" spans="1:7" ht="15.75">
      <c r="A116" s="367" t="s">
        <v>659</v>
      </c>
      <c r="B116" s="580" t="s">
        <v>756</v>
      </c>
      <c r="C116" s="178"/>
      <c r="D116" s="409" t="s">
        <v>344</v>
      </c>
      <c r="E116" s="416">
        <f>SUM(Разходи!D$61,-E$109)</f>
        <v>577.20100000000002</v>
      </c>
      <c r="F116" s="458">
        <f>SUM(Разходи!G$61,-F$109)</f>
        <v>609.36799999999994</v>
      </c>
    </row>
    <row r="117" spans="1:7" ht="15.75">
      <c r="A117" s="367">
        <v>41</v>
      </c>
      <c r="B117" s="576" t="s">
        <v>319</v>
      </c>
      <c r="C117" s="112"/>
      <c r="D117" s="112" t="s">
        <v>384</v>
      </c>
      <c r="E117" s="582">
        <v>10</v>
      </c>
      <c r="F117" s="687">
        <f>'[1]2015'!$AN$29</f>
        <v>8</v>
      </c>
    </row>
    <row r="118" spans="1:7" s="341" customFormat="1" ht="15.75">
      <c r="A118" s="417">
        <v>42</v>
      </c>
      <c r="B118" s="411" t="s">
        <v>199</v>
      </c>
      <c r="C118" s="149" t="s">
        <v>237</v>
      </c>
      <c r="D118" s="149" t="s">
        <v>384</v>
      </c>
      <c r="E118" s="418">
        <f>SUM(E$110,E$117)</f>
        <v>199.75</v>
      </c>
      <c r="F118" s="459">
        <f>SUM(F$110,F$117)</f>
        <v>185.98</v>
      </c>
      <c r="G118" s="137"/>
    </row>
    <row r="119" spans="1:7" ht="15.75">
      <c r="A119" s="367">
        <v>43</v>
      </c>
      <c r="B119" s="419">
        <v>2008</v>
      </c>
      <c r="C119" s="112" t="s">
        <v>236</v>
      </c>
      <c r="D119" s="112" t="s">
        <v>384</v>
      </c>
      <c r="E119" s="420">
        <f>IF(B119&lt;2004,E110,E118)</f>
        <v>199.75</v>
      </c>
      <c r="F119" s="460">
        <f>IF(C119&lt;2004,F110,F118)</f>
        <v>185.98</v>
      </c>
    </row>
    <row r="120" spans="1:7" ht="15.75">
      <c r="A120" s="367">
        <v>44</v>
      </c>
      <c r="B120" s="398" t="s">
        <v>318</v>
      </c>
      <c r="C120" s="112" t="s">
        <v>235</v>
      </c>
      <c r="D120" s="112" t="s">
        <v>384</v>
      </c>
      <c r="E120" s="397">
        <f>E110</f>
        <v>189.75</v>
      </c>
      <c r="F120" s="448">
        <f>F110</f>
        <v>177.98</v>
      </c>
    </row>
    <row r="121" spans="1:7" ht="15.75">
      <c r="A121" s="367">
        <v>45</v>
      </c>
      <c r="B121" s="398" t="s">
        <v>157</v>
      </c>
      <c r="C121" s="112" t="s">
        <v>238</v>
      </c>
      <c r="D121" s="409" t="s">
        <v>344</v>
      </c>
      <c r="E121" s="421">
        <f>SUMPRODUCT(E65:E67,E118:E120)/1000</f>
        <v>1783.7674999999999</v>
      </c>
      <c r="F121" s="458">
        <f>SUMPRODUCT(F65:F67,F118:F120)/1000</f>
        <v>1859.8</v>
      </c>
    </row>
    <row r="122" spans="1:7" ht="15.75">
      <c r="A122" s="216">
        <v>46</v>
      </c>
      <c r="B122" s="461" t="s">
        <v>552</v>
      </c>
      <c r="C122" s="112" t="s">
        <v>239</v>
      </c>
      <c r="D122" s="409" t="s">
        <v>344</v>
      </c>
      <c r="E122" s="421">
        <f>SUM(Разходи!D$8,-E$121)</f>
        <v>698.92910000000029</v>
      </c>
      <c r="F122" s="458">
        <f>SUM(Разходи!G$8,-F$121)</f>
        <v>751.94119999999998</v>
      </c>
    </row>
    <row r="123" spans="1:7" ht="15.75">
      <c r="A123" s="367">
        <v>47</v>
      </c>
      <c r="B123" s="573" t="s">
        <v>198</v>
      </c>
      <c r="C123" s="422" t="s">
        <v>159</v>
      </c>
      <c r="D123" s="112" t="s">
        <v>384</v>
      </c>
      <c r="E123" s="423">
        <f>IF(E8=0,0,ROUND(E122/E8*1000,2))</f>
        <v>77.66</v>
      </c>
      <c r="F123" s="462">
        <f>IF(F8=0,0,ROUND(F122/F8*1000,2))</f>
        <v>75.19</v>
      </c>
    </row>
    <row r="124" spans="1:7" ht="15.75">
      <c r="A124" s="367">
        <v>48</v>
      </c>
      <c r="B124" s="574" t="s">
        <v>196</v>
      </c>
      <c r="C124" s="424" t="s">
        <v>87</v>
      </c>
      <c r="D124" s="407" t="s">
        <v>384</v>
      </c>
      <c r="E124" s="425">
        <f>IF(E9=0,0,SUM(IF(E8=0,0,IF(Разходи!D8=0,0,E122/Разходи!D8*Разходи!D61)/E8*1000)*E9,IF(E102=0,0,SUM(E122,-IF(Разходи!D8=0,0,E122/Разходи!D8*Разходи!D61))/E102*E103*1000/E9)*E9)/E9)</f>
        <v>77.658788888888921</v>
      </c>
      <c r="F124" s="463">
        <f>IF(F9=0,0,SUM(IF(F8=0,0,IF(Разходи!G8=0,0,F122/Разходи!G8*Разходи!G61)/F8*1000)*F9,IF(F102=0,0,SUM(F122,-IF(Разходи!G8=0,0,F122/Разходи!G8*Разходи!G61))/F102*F103*1000/F9)*F9)/F9)</f>
        <v>75.194119999999998</v>
      </c>
    </row>
    <row r="125" spans="1:7" ht="16.5" thickBot="1">
      <c r="A125" s="464">
        <v>49</v>
      </c>
      <c r="B125" s="575" t="s">
        <v>197</v>
      </c>
      <c r="C125" s="465" t="s">
        <v>168</v>
      </c>
      <c r="D125" s="466" t="s">
        <v>384</v>
      </c>
      <c r="E125" s="467">
        <f>IF(E10=0,0,SUM(IF(E8=0,0,IF(Разходи!D8=0,0,E122/Разходи!D8*Разходи!D61)/E8*1000)*E10,IF(E102=0,0,SUM(E122,-IF(Разходи!D8=0,0,E122/Разходи!D8*Разходи!D61))/E102*E104*1000/E10)*E10)/E10)</f>
        <v>0</v>
      </c>
      <c r="F125" s="468">
        <f>IF(F10=0,0,SUM(IF(F8=0,0,IF(Разходи!G8=0,0,F122/Разходи!G8*Разходи!G61)/F8*1000)*F10,IF(F102=0,0,SUM(F122,-IF(Разходи!G8=0,0,F122/Разходи!G8*Разходи!G61))/F102*F104*1000/F10)*F10)/F10)</f>
        <v>0</v>
      </c>
    </row>
    <row r="126" spans="1:7" ht="13.5" thickTop="1"/>
    <row r="127" spans="1:7" ht="13.5" thickBot="1"/>
    <row r="128" spans="1:7" ht="32.25" customHeight="1" thickTop="1">
      <c r="A128" s="789" t="s">
        <v>0</v>
      </c>
      <c r="B128" s="793">
        <f>B5</f>
        <v>7.2016</v>
      </c>
      <c r="C128" s="795" t="s">
        <v>42</v>
      </c>
      <c r="D128" s="797" t="s">
        <v>14</v>
      </c>
      <c r="E128" s="346" t="s">
        <v>341</v>
      </c>
      <c r="F128" s="347" t="s">
        <v>342</v>
      </c>
    </row>
    <row r="129" spans="1:6" ht="15.75">
      <c r="A129" s="790"/>
      <c r="B129" s="794"/>
      <c r="C129" s="796"/>
      <c r="D129" s="798"/>
      <c r="E129" s="348">
        <f>($B$5-7.0001)*10000</f>
        <v>2015.0000000000023</v>
      </c>
      <c r="F129" s="524">
        <f>$B$5</f>
        <v>7.2016</v>
      </c>
    </row>
    <row r="130" spans="1:6">
      <c r="A130" s="349">
        <v>1</v>
      </c>
      <c r="B130" s="350">
        <v>2</v>
      </c>
      <c r="C130" s="351">
        <v>3</v>
      </c>
      <c r="D130" s="351">
        <v>4</v>
      </c>
      <c r="E130" s="352">
        <v>5</v>
      </c>
      <c r="F130" s="525">
        <v>6</v>
      </c>
    </row>
    <row r="131" spans="1:6" ht="15">
      <c r="A131" s="585">
        <v>1</v>
      </c>
      <c r="B131" s="583" t="s">
        <v>724</v>
      </c>
      <c r="C131" s="124"/>
      <c r="D131" s="331" t="s">
        <v>722</v>
      </c>
      <c r="E131" s="310">
        <f>SUM(E133,-E132)</f>
        <v>0</v>
      </c>
      <c r="F131" s="586">
        <f>SUM(F133,-F132)</f>
        <v>0</v>
      </c>
    </row>
    <row r="132" spans="1:6" ht="15">
      <c r="A132" s="585">
        <v>2</v>
      </c>
      <c r="B132" s="583" t="s">
        <v>726</v>
      </c>
      <c r="C132" s="124"/>
      <c r="D132" s="331" t="s">
        <v>722</v>
      </c>
      <c r="E132" s="307"/>
      <c r="F132" s="548"/>
    </row>
    <row r="133" spans="1:6" ht="16.5" thickBot="1">
      <c r="A133" s="587">
        <v>3</v>
      </c>
      <c r="B133" s="588" t="s">
        <v>725</v>
      </c>
      <c r="C133" s="478"/>
      <c r="D133" s="549" t="s">
        <v>722</v>
      </c>
      <c r="E133" s="589"/>
      <c r="F133" s="590"/>
    </row>
    <row r="134" spans="1:6" ht="14.25" thickTop="1">
      <c r="A134" s="544"/>
      <c r="B134" s="570"/>
      <c r="C134" s="546"/>
      <c r="D134" s="546"/>
      <c r="E134" s="546"/>
    </row>
    <row r="135" spans="1:6" ht="13.5">
      <c r="A135" s="544"/>
      <c r="B135" s="570"/>
      <c r="C135" s="546"/>
      <c r="D135" s="546"/>
      <c r="E135" s="546"/>
    </row>
    <row r="136" spans="1:6" ht="13.5">
      <c r="A136" s="544"/>
      <c r="B136" s="570"/>
      <c r="C136" s="546"/>
      <c r="D136" s="546"/>
      <c r="E136" s="546"/>
    </row>
    <row r="137" spans="1:6">
      <c r="F137" s="426"/>
    </row>
    <row r="138" spans="1:6" ht="15.75">
      <c r="A138" s="111" t="str">
        <f>Разходи!$A$91</f>
        <v>Гл. счетоводител:</v>
      </c>
      <c r="B138" s="427"/>
      <c r="C138" s="428" t="str">
        <f>Разходи!$E$91</f>
        <v>Изп. директор:</v>
      </c>
      <c r="D138" s="428"/>
      <c r="E138" s="207"/>
      <c r="F138" s="207"/>
    </row>
    <row r="139" spans="1:6">
      <c r="B139" s="207" t="str">
        <f>Разходи!$B$93</f>
        <v>Гл.счетоводител/ М.Тодорова /</v>
      </c>
      <c r="C139" s="428"/>
      <c r="D139" s="799" t="str">
        <f>Разходи!$F$93</f>
        <v>Изп.директор /Т.Йорданов/</v>
      </c>
      <c r="E139" s="799"/>
      <c r="F139" s="799"/>
    </row>
    <row r="140" spans="1:6"/>
    <row r="141" spans="1:6"/>
    <row r="142" spans="1:6"/>
    <row r="143" spans="1:6"/>
    <row r="144" spans="1:6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/>
    <row r="488"/>
    <row r="489"/>
    <row r="490"/>
    <row r="491"/>
    <row r="492"/>
  </sheetData>
  <mergeCells count="11">
    <mergeCell ref="D128:D129"/>
    <mergeCell ref="D139:F139"/>
    <mergeCell ref="B1:C1"/>
    <mergeCell ref="B2:C2"/>
    <mergeCell ref="C5:C6"/>
    <mergeCell ref="D5:D6"/>
    <mergeCell ref="A5:A6"/>
    <mergeCell ref="B5:B6"/>
    <mergeCell ref="A128:A129"/>
    <mergeCell ref="B128:B129"/>
    <mergeCell ref="C128:C129"/>
  </mergeCells>
  <phoneticPr fontId="0" type="noConversion"/>
  <dataValidations xWindow="618" yWindow="103" count="1">
    <dataValidation type="whole" operator="lessThanOrEqual" allowBlank="1" showInputMessage="1" showErrorMessage="1" sqref="E28:F28">
      <formula1>E29</formula1>
    </dataValidation>
  </dataValidations>
  <printOptions horizontalCentered="1"/>
  <pageMargins left="0.35433070866141736" right="0.35433070866141736" top="0.78740157480314965" bottom="0.31496062992125984" header="0" footer="0"/>
  <pageSetup paperSize="9" scale="55" orientation="portrait" blackAndWhite="1" r:id="rId1"/>
  <headerFooter alignWithMargins="0"/>
  <rowBreaks count="1" manualBreakCount="1">
    <brk id="92" max="16383" man="1"/>
  </rowBreaks>
  <ignoredErrors>
    <ignoredError sqref="E29 F29 E18:E19 F19 E17:F17 F18 E21 E22:F22 E60" unlockedFormula="1"/>
    <ignoredError sqref="E24 E69 F69" formulaRange="1"/>
    <ignoredError sqref="E106:F10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F164"/>
  <sheetViews>
    <sheetView showGridLines="0" showZeros="0" workbookViewId="0">
      <pane ySplit="3" topLeftCell="A4" activePane="bottomLeft" state="frozen"/>
      <selection pane="bottomLeft"/>
    </sheetView>
  </sheetViews>
  <sheetFormatPr defaultColWidth="0" defaultRowHeight="12.75" zeroHeight="1"/>
  <cols>
    <col min="1" max="1" width="4.28515625" style="293" customWidth="1"/>
    <col min="2" max="2" width="59" style="293" customWidth="1"/>
    <col min="3" max="3" width="7.5703125" style="293" bestFit="1" customWidth="1"/>
    <col min="4" max="4" width="10.7109375" style="293" customWidth="1"/>
    <col min="5" max="5" width="12.85546875" style="293" customWidth="1"/>
    <col min="6" max="6" width="9.140625" style="293" customWidth="1"/>
    <col min="7" max="16384" width="0" style="293" hidden="1"/>
  </cols>
  <sheetData>
    <row r="1" spans="1:6" ht="18.75">
      <c r="A1" s="291"/>
      <c r="B1" s="808">
        <v>5</v>
      </c>
      <c r="C1" s="808"/>
      <c r="D1" s="292"/>
      <c r="E1" s="138" t="s">
        <v>695</v>
      </c>
    </row>
    <row r="2" spans="1:6" ht="15.75">
      <c r="A2" s="294"/>
      <c r="B2" s="809" t="s">
        <v>208</v>
      </c>
      <c r="C2" s="809"/>
      <c r="D2" s="294"/>
      <c r="E2" s="294"/>
    </row>
    <row r="3" spans="1:6">
      <c r="A3" s="295"/>
      <c r="B3" s="810" t="str">
        <f>'ТИП-ПРОИЗ'!$B$3:$C$3</f>
        <v>"ИНЕРТСТРОЙ-КАЛЕТО"АД</v>
      </c>
      <c r="C3" s="810"/>
      <c r="D3" s="296"/>
      <c r="E3" s="296"/>
    </row>
    <row r="4" spans="1:6" ht="13.5" thickBot="1">
      <c r="A4" s="295"/>
      <c r="B4" s="295"/>
      <c r="C4" s="295"/>
      <c r="D4" s="296"/>
      <c r="E4" s="296"/>
    </row>
    <row r="5" spans="1:6" ht="13.5" thickTop="1">
      <c r="A5" s="811" t="s">
        <v>37</v>
      </c>
      <c r="B5" s="813" t="s">
        <v>337</v>
      </c>
      <c r="C5" s="802" t="s">
        <v>2</v>
      </c>
      <c r="D5" s="297" t="s">
        <v>341</v>
      </c>
      <c r="E5" s="298" t="s">
        <v>342</v>
      </c>
    </row>
    <row r="6" spans="1:6">
      <c r="A6" s="812"/>
      <c r="B6" s="814"/>
      <c r="C6" s="803"/>
      <c r="D6" s="299">
        <f>'ТИП-ПРОИЗ'!E6</f>
        <v>2015</v>
      </c>
      <c r="E6" s="670">
        <f>'ТИП-ПРОИЗ'!F6</f>
        <v>7.2016</v>
      </c>
    </row>
    <row r="7" spans="1:6" ht="15.75">
      <c r="A7" s="300">
        <v>1</v>
      </c>
      <c r="B7" s="301" t="s">
        <v>392</v>
      </c>
      <c r="C7" s="302" t="s">
        <v>70</v>
      </c>
      <c r="D7" s="303">
        <f>SUM(D8:D9)</f>
        <v>0</v>
      </c>
      <c r="E7" s="527">
        <f>SUM(E8:E9)</f>
        <v>0</v>
      </c>
      <c r="F7" s="304"/>
    </row>
    <row r="8" spans="1:6">
      <c r="A8" s="305">
        <v>2</v>
      </c>
      <c r="B8" s="306" t="s">
        <v>184</v>
      </c>
      <c r="C8" s="302" t="s">
        <v>70</v>
      </c>
      <c r="D8" s="57"/>
      <c r="E8" s="58"/>
      <c r="F8" s="304"/>
    </row>
    <row r="9" spans="1:6">
      <c r="A9" s="300">
        <v>3</v>
      </c>
      <c r="B9" s="308" t="s">
        <v>181</v>
      </c>
      <c r="C9" s="302" t="s">
        <v>70</v>
      </c>
      <c r="D9" s="57"/>
      <c r="E9" s="58"/>
      <c r="F9" s="304"/>
    </row>
    <row r="10" spans="1:6">
      <c r="A10" s="305">
        <v>4</v>
      </c>
      <c r="B10" s="309" t="s">
        <v>180</v>
      </c>
      <c r="C10" s="302" t="s">
        <v>70</v>
      </c>
      <c r="D10" s="59"/>
      <c r="E10" s="528"/>
    </row>
    <row r="11" spans="1:6">
      <c r="A11" s="300">
        <v>5</v>
      </c>
      <c r="B11" s="309" t="s">
        <v>180</v>
      </c>
      <c r="C11" s="310" t="s">
        <v>7</v>
      </c>
      <c r="D11" s="311">
        <f>IF(D12=0,0,ROUND(D10/D12,4))</f>
        <v>0</v>
      </c>
      <c r="E11" s="325">
        <f>IF(E12=0,0,ROUND(E10/E12,4))</f>
        <v>0</v>
      </c>
    </row>
    <row r="12" spans="1:6">
      <c r="A12" s="305">
        <v>6</v>
      </c>
      <c r="B12" s="309" t="s">
        <v>38</v>
      </c>
      <c r="C12" s="302" t="s">
        <v>70</v>
      </c>
      <c r="D12" s="312">
        <f>SUM(D7,D10)</f>
        <v>0</v>
      </c>
      <c r="E12" s="529">
        <f>SUM(E7,E10)</f>
        <v>0</v>
      </c>
    </row>
    <row r="13" spans="1:6" ht="13.5">
      <c r="A13" s="300">
        <v>7</v>
      </c>
      <c r="B13" s="313" t="s">
        <v>346</v>
      </c>
      <c r="C13" s="302" t="s">
        <v>344</v>
      </c>
      <c r="D13" s="314">
        <f>D20*D12/1000</f>
        <v>0</v>
      </c>
      <c r="E13" s="315">
        <f>E20*E12/1000</f>
        <v>0</v>
      </c>
    </row>
    <row r="14" spans="1:6">
      <c r="A14" s="305">
        <v>8</v>
      </c>
      <c r="B14" s="309" t="s">
        <v>539</v>
      </c>
      <c r="C14" s="302" t="s">
        <v>344</v>
      </c>
      <c r="D14" s="314">
        <f>SUM(D15:D16)</f>
        <v>0</v>
      </c>
      <c r="E14" s="315">
        <f>SUM(E15:E16)</f>
        <v>0</v>
      </c>
    </row>
    <row r="15" spans="1:6">
      <c r="A15" s="300">
        <v>9</v>
      </c>
      <c r="B15" s="309" t="s">
        <v>345</v>
      </c>
      <c r="C15" s="302" t="s">
        <v>344</v>
      </c>
      <c r="D15" s="314">
        <f>Разходи!E9</f>
        <v>0</v>
      </c>
      <c r="E15" s="315">
        <f>Разходи!H9</f>
        <v>0</v>
      </c>
    </row>
    <row r="16" spans="1:6">
      <c r="A16" s="305">
        <v>10</v>
      </c>
      <c r="B16" s="309" t="s">
        <v>555</v>
      </c>
      <c r="C16" s="302" t="s">
        <v>344</v>
      </c>
      <c r="D16" s="314">
        <f>SUM(D17:D18)</f>
        <v>0</v>
      </c>
      <c r="E16" s="315">
        <f>SUM(E17:E18)</f>
        <v>0</v>
      </c>
    </row>
    <row r="17" spans="1:6">
      <c r="A17" s="300">
        <v>11</v>
      </c>
      <c r="B17" s="309" t="s">
        <v>347</v>
      </c>
      <c r="C17" s="302" t="s">
        <v>344</v>
      </c>
      <c r="D17" s="314">
        <f>Разходи!E11</f>
        <v>0</v>
      </c>
      <c r="E17" s="315">
        <f>Разходи!H11</f>
        <v>0</v>
      </c>
    </row>
    <row r="18" spans="1:6">
      <c r="A18" s="305">
        <v>12</v>
      </c>
      <c r="B18" s="309" t="s">
        <v>541</v>
      </c>
      <c r="C18" s="302" t="s">
        <v>344</v>
      </c>
      <c r="D18" s="314">
        <f>Разходи!E61</f>
        <v>0</v>
      </c>
      <c r="E18" s="315">
        <f>Разходи!H61</f>
        <v>0</v>
      </c>
    </row>
    <row r="19" spans="1:6">
      <c r="A19" s="300">
        <v>13</v>
      </c>
      <c r="B19" s="309" t="s">
        <v>472</v>
      </c>
      <c r="C19" s="302" t="s">
        <v>344</v>
      </c>
      <c r="D19" s="314">
        <f>D10*D20/1000</f>
        <v>0</v>
      </c>
      <c r="E19" s="315">
        <f>E10*E20/1000</f>
        <v>0</v>
      </c>
    </row>
    <row r="20" spans="1:6" ht="13.5">
      <c r="A20" s="305">
        <v>14</v>
      </c>
      <c r="B20" s="316" t="s">
        <v>335</v>
      </c>
      <c r="C20" s="302" t="s">
        <v>204</v>
      </c>
      <c r="D20" s="317">
        <f>'ТИП-ПРОИЗ'!E124</f>
        <v>77.658788888888921</v>
      </c>
      <c r="E20" s="530">
        <f>'ТИП-ПРОИЗ'!F124</f>
        <v>75.194119999999998</v>
      </c>
      <c r="F20" s="304"/>
    </row>
    <row r="21" spans="1:6">
      <c r="A21" s="300">
        <v>15</v>
      </c>
      <c r="B21" s="318" t="s">
        <v>540</v>
      </c>
      <c r="C21" s="302" t="s">
        <v>204</v>
      </c>
      <c r="D21" s="319">
        <f>IF(D7=0,0,SUM(D14,D19)/D7*1000)</f>
        <v>0</v>
      </c>
      <c r="E21" s="531">
        <f>IF(E7=0,0,SUM(E14,E19)/E7*1000)</f>
        <v>0</v>
      </c>
      <c r="F21" s="304"/>
    </row>
    <row r="22" spans="1:6">
      <c r="A22" s="305">
        <v>16</v>
      </c>
      <c r="B22" s="318" t="s">
        <v>719</v>
      </c>
      <c r="C22" s="302" t="s">
        <v>204</v>
      </c>
      <c r="D22" s="319">
        <f>IF(D7=0,0,D19/D7*1000)</f>
        <v>0</v>
      </c>
      <c r="E22" s="531">
        <f>IF(E7=0,0,E19/E7*1000)</f>
        <v>0</v>
      </c>
      <c r="F22" s="304"/>
    </row>
    <row r="23" spans="1:6" ht="15.75">
      <c r="A23" s="300">
        <v>17</v>
      </c>
      <c r="B23" s="542" t="s">
        <v>183</v>
      </c>
      <c r="C23" s="302" t="s">
        <v>204</v>
      </c>
      <c r="D23" s="320">
        <f>ROUNDUP(IF(D7=0,0,SUM(D20*D12,D14*1000)/D7),2)</f>
        <v>0</v>
      </c>
      <c r="E23" s="321">
        <f>ROUNDUP(IF(E7=0,0,SUM(E20*E12,E14*1000)/E7),2)</f>
        <v>0</v>
      </c>
    </row>
    <row r="24" spans="1:6" ht="13.5" thickBot="1">
      <c r="A24" s="532">
        <v>18</v>
      </c>
      <c r="B24" s="533" t="s">
        <v>553</v>
      </c>
      <c r="C24" s="534" t="s">
        <v>96</v>
      </c>
      <c r="D24" s="535">
        <f>D23*D7/1000</f>
        <v>0</v>
      </c>
      <c r="E24" s="536">
        <f>E23*E7/1000</f>
        <v>0</v>
      </c>
    </row>
    <row r="25" spans="1:6" ht="13.5" thickTop="1">
      <c r="A25" s="295"/>
      <c r="B25" s="295"/>
      <c r="C25" s="295"/>
      <c r="D25" s="296"/>
      <c r="E25" s="296"/>
    </row>
    <row r="26" spans="1:6" ht="13.5" thickBot="1">
      <c r="A26" s="295"/>
      <c r="B26" s="295"/>
      <c r="C26" s="295"/>
      <c r="D26" s="296"/>
      <c r="E26" s="296"/>
    </row>
    <row r="27" spans="1:6" ht="13.5" customHeight="1" thickTop="1">
      <c r="A27" s="818" t="s">
        <v>37</v>
      </c>
      <c r="B27" s="816" t="s">
        <v>336</v>
      </c>
      <c r="C27" s="820" t="s">
        <v>2</v>
      </c>
      <c r="D27" s="673" t="s">
        <v>341</v>
      </c>
      <c r="E27" s="298" t="s">
        <v>342</v>
      </c>
    </row>
    <row r="28" spans="1:6" ht="13.5" customHeight="1">
      <c r="A28" s="819"/>
      <c r="B28" s="817"/>
      <c r="C28" s="821"/>
      <c r="D28" s="674">
        <f>D6</f>
        <v>2015</v>
      </c>
      <c r="E28" s="670">
        <f>E6</f>
        <v>7.2016</v>
      </c>
    </row>
    <row r="29" spans="1:6">
      <c r="A29" s="322">
        <v>1</v>
      </c>
      <c r="B29" s="323">
        <v>2</v>
      </c>
      <c r="C29" s="324">
        <v>3</v>
      </c>
      <c r="D29" s="671">
        <v>5</v>
      </c>
      <c r="E29" s="672">
        <v>8</v>
      </c>
    </row>
    <row r="30" spans="1:6" ht="15.75">
      <c r="A30" s="305">
        <v>1</v>
      </c>
      <c r="B30" s="543" t="s">
        <v>339</v>
      </c>
      <c r="C30" s="302" t="s">
        <v>70</v>
      </c>
      <c r="D30" s="86"/>
      <c r="E30" s="87"/>
    </row>
    <row r="31" spans="1:6">
      <c r="A31" s="305">
        <v>2</v>
      </c>
      <c r="B31" s="309" t="s">
        <v>180</v>
      </c>
      <c r="C31" s="302" t="s">
        <v>70</v>
      </c>
      <c r="D31" s="57"/>
      <c r="E31" s="58"/>
    </row>
    <row r="32" spans="1:6">
      <c r="A32" s="305">
        <v>3</v>
      </c>
      <c r="B32" s="309" t="s">
        <v>180</v>
      </c>
      <c r="C32" s="310" t="s">
        <v>7</v>
      </c>
      <c r="D32" s="311">
        <f>IF(D33=0,0,ROUND(D31/D33,4))</f>
        <v>0</v>
      </c>
      <c r="E32" s="325">
        <f>IF(E33=0,0,ROUND(E31/E33,4))</f>
        <v>0</v>
      </c>
    </row>
    <row r="33" spans="1:6">
      <c r="A33" s="305">
        <v>4</v>
      </c>
      <c r="B33" s="309" t="s">
        <v>340</v>
      </c>
      <c r="C33" s="302" t="s">
        <v>70</v>
      </c>
      <c r="D33" s="326">
        <f>SUM(D30:D31)</f>
        <v>0</v>
      </c>
      <c r="E33" s="327">
        <f>SUM(E30:E31)</f>
        <v>0</v>
      </c>
      <c r="F33" s="304"/>
    </row>
    <row r="34" spans="1:6">
      <c r="A34" s="305">
        <v>5</v>
      </c>
      <c r="B34" s="328" t="s">
        <v>348</v>
      </c>
      <c r="C34" s="302" t="s">
        <v>344</v>
      </c>
      <c r="D34" s="314">
        <f>D33*D41/1000</f>
        <v>0</v>
      </c>
      <c r="E34" s="315">
        <f>E33*E41/1000</f>
        <v>0</v>
      </c>
      <c r="F34" s="304"/>
    </row>
    <row r="35" spans="1:6">
      <c r="A35" s="305">
        <v>6</v>
      </c>
      <c r="B35" s="309" t="s">
        <v>349</v>
      </c>
      <c r="C35" s="302" t="s">
        <v>344</v>
      </c>
      <c r="D35" s="314">
        <f>SUM(D36:D37)</f>
        <v>0</v>
      </c>
      <c r="E35" s="315">
        <f>SUM(E36:E37)</f>
        <v>0</v>
      </c>
      <c r="F35" s="304"/>
    </row>
    <row r="36" spans="1:6">
      <c r="A36" s="305">
        <v>7</v>
      </c>
      <c r="B36" s="309" t="s">
        <v>350</v>
      </c>
      <c r="C36" s="302" t="s">
        <v>344</v>
      </c>
      <c r="D36" s="57"/>
      <c r="E36" s="58"/>
      <c r="F36" s="304"/>
    </row>
    <row r="37" spans="1:6">
      <c r="A37" s="305">
        <v>8</v>
      </c>
      <c r="B37" s="309" t="s">
        <v>554</v>
      </c>
      <c r="C37" s="302" t="s">
        <v>344</v>
      </c>
      <c r="D37" s="314">
        <f>SUM(D38:D39)</f>
        <v>0</v>
      </c>
      <c r="E37" s="315">
        <f>SUM(E38:E39)</f>
        <v>0</v>
      </c>
      <c r="F37" s="304"/>
    </row>
    <row r="38" spans="1:6">
      <c r="A38" s="305">
        <v>9</v>
      </c>
      <c r="B38" s="309" t="s">
        <v>351</v>
      </c>
      <c r="C38" s="302" t="s">
        <v>344</v>
      </c>
      <c r="D38" s="314"/>
      <c r="E38" s="315"/>
      <c r="F38" s="304"/>
    </row>
    <row r="39" spans="1:6">
      <c r="A39" s="305">
        <v>10</v>
      </c>
      <c r="B39" s="309" t="s">
        <v>556</v>
      </c>
      <c r="C39" s="302" t="s">
        <v>344</v>
      </c>
      <c r="D39" s="314"/>
      <c r="E39" s="315"/>
      <c r="F39" s="304"/>
    </row>
    <row r="40" spans="1:6">
      <c r="A40" s="305">
        <v>11</v>
      </c>
      <c r="B40" s="309" t="s">
        <v>473</v>
      </c>
      <c r="C40" s="302" t="s">
        <v>344</v>
      </c>
      <c r="D40" s="314">
        <f>D31*D41/1000</f>
        <v>0</v>
      </c>
      <c r="E40" s="315">
        <f>E31*E41/1000</f>
        <v>0</v>
      </c>
      <c r="F40" s="304"/>
    </row>
    <row r="41" spans="1:6" ht="13.5">
      <c r="A41" s="305">
        <v>12</v>
      </c>
      <c r="B41" s="316" t="s">
        <v>333</v>
      </c>
      <c r="C41" s="302" t="s">
        <v>204</v>
      </c>
      <c r="D41" s="319">
        <f>'ТИП-ПРОИЗ'!E125</f>
        <v>0</v>
      </c>
      <c r="E41" s="531">
        <f>'ТИП-ПРОИЗ'!F125</f>
        <v>0</v>
      </c>
      <c r="F41" s="304"/>
    </row>
    <row r="42" spans="1:6">
      <c r="A42" s="305">
        <v>13</v>
      </c>
      <c r="B42" s="318" t="s">
        <v>334</v>
      </c>
      <c r="C42" s="302" t="s">
        <v>204</v>
      </c>
      <c r="D42" s="319">
        <f>IF(D30=0,0,SUM(D35,D40)/D30*1000)</f>
        <v>0</v>
      </c>
      <c r="E42" s="531">
        <f>IF(E30=0,0,SUM(E35,E40)/E30*1000)</f>
        <v>0</v>
      </c>
      <c r="F42" s="304"/>
    </row>
    <row r="43" spans="1:6">
      <c r="A43" s="305">
        <v>14</v>
      </c>
      <c r="B43" s="318" t="s">
        <v>720</v>
      </c>
      <c r="C43" s="302" t="s">
        <v>204</v>
      </c>
      <c r="D43" s="319">
        <f>IF(D30=0,0,D40/D30*1000)</f>
        <v>0</v>
      </c>
      <c r="E43" s="531">
        <f>IF(E30=0,0,E40/E30*1000)</f>
        <v>0</v>
      </c>
      <c r="F43" s="304"/>
    </row>
    <row r="44" spans="1:6" ht="15.75">
      <c r="A44" s="305">
        <v>15</v>
      </c>
      <c r="B44" s="542" t="s">
        <v>182</v>
      </c>
      <c r="C44" s="302" t="s">
        <v>204</v>
      </c>
      <c r="D44" s="329">
        <f>ROUNDUP(IF(D30=0,0,SUM(D41*D33,D35*1000)/D30),4)</f>
        <v>0</v>
      </c>
      <c r="E44" s="330">
        <f>ROUNDUP(IF(E30=0,0,SUM(E41*E33,E35*1000)/E30),4)</f>
        <v>0</v>
      </c>
      <c r="F44" s="304"/>
    </row>
    <row r="45" spans="1:6" ht="13.5" thickBot="1">
      <c r="A45" s="532">
        <v>16</v>
      </c>
      <c r="B45" s="533" t="s">
        <v>343</v>
      </c>
      <c r="C45" s="534" t="s">
        <v>96</v>
      </c>
      <c r="D45" s="535">
        <f>D44*D30/1000</f>
        <v>0</v>
      </c>
      <c r="E45" s="536">
        <f>E44*E30/1000</f>
        <v>0</v>
      </c>
    </row>
    <row r="46" spans="1:6" s="127" customFormat="1" ht="13.5" thickTop="1"/>
    <row r="47" spans="1:6" s="127" customFormat="1" ht="13.5" thickBot="1"/>
    <row r="48" spans="1:6" ht="13.5" thickTop="1">
      <c r="A48" s="804" t="s">
        <v>37</v>
      </c>
      <c r="B48" s="806" t="s">
        <v>723</v>
      </c>
      <c r="C48" s="802" t="s">
        <v>2</v>
      </c>
      <c r="D48" s="297" t="s">
        <v>341</v>
      </c>
      <c r="E48" s="298" t="s">
        <v>342</v>
      </c>
    </row>
    <row r="49" spans="1:5">
      <c r="A49" s="805"/>
      <c r="B49" s="807"/>
      <c r="C49" s="803"/>
      <c r="D49" s="299">
        <f>D6</f>
        <v>2015</v>
      </c>
      <c r="E49" s="526">
        <f>E6</f>
        <v>7.2016</v>
      </c>
    </row>
    <row r="50" spans="1:5" ht="13.5">
      <c r="A50" s="558">
        <v>1</v>
      </c>
      <c r="B50" s="554" t="s">
        <v>206</v>
      </c>
      <c r="C50" s="331" t="s">
        <v>338</v>
      </c>
      <c r="D50" s="332">
        <f>SUM(D51,D54)</f>
        <v>0</v>
      </c>
      <c r="E50" s="547">
        <f>SUM(E51,E54)</f>
        <v>0</v>
      </c>
    </row>
    <row r="51" spans="1:5" ht="13.5">
      <c r="A51" s="559">
        <v>2</v>
      </c>
      <c r="B51" s="555" t="s">
        <v>207</v>
      </c>
      <c r="C51" s="331" t="s">
        <v>338</v>
      </c>
      <c r="D51" s="314">
        <f>SUM(D52:D53)</f>
        <v>0</v>
      </c>
      <c r="E51" s="315">
        <f>SUM(E52:E53)</f>
        <v>0</v>
      </c>
    </row>
    <row r="52" spans="1:5">
      <c r="A52" s="558">
        <v>3</v>
      </c>
      <c r="B52" s="556" t="s">
        <v>185</v>
      </c>
      <c r="C52" s="331" t="s">
        <v>338</v>
      </c>
      <c r="D52" s="307"/>
      <c r="E52" s="548"/>
    </row>
    <row r="53" spans="1:5">
      <c r="A53" s="559">
        <v>4</v>
      </c>
      <c r="B53" s="556" t="s">
        <v>186</v>
      </c>
      <c r="C53" s="331" t="s">
        <v>338</v>
      </c>
      <c r="D53" s="307"/>
      <c r="E53" s="548"/>
    </row>
    <row r="54" spans="1:5" ht="13.5">
      <c r="A54" s="558">
        <v>5</v>
      </c>
      <c r="B54" s="555" t="s">
        <v>205</v>
      </c>
      <c r="C54" s="331" t="s">
        <v>338</v>
      </c>
      <c r="D54" s="314">
        <f>SUM(D55:D56)</f>
        <v>0</v>
      </c>
      <c r="E54" s="315">
        <f>SUM(E55:E56)</f>
        <v>0</v>
      </c>
    </row>
    <row r="55" spans="1:5">
      <c r="A55" s="559">
        <v>6</v>
      </c>
      <c r="B55" s="556" t="s">
        <v>185</v>
      </c>
      <c r="C55" s="331" t="s">
        <v>338</v>
      </c>
      <c r="D55" s="307"/>
      <c r="E55" s="548"/>
    </row>
    <row r="56" spans="1:5">
      <c r="A56" s="560">
        <v>7</v>
      </c>
      <c r="B56" s="557" t="s">
        <v>186</v>
      </c>
      <c r="C56" s="550" t="s">
        <v>338</v>
      </c>
      <c r="D56" s="551"/>
      <c r="E56" s="552"/>
    </row>
    <row r="57" spans="1:5" ht="13.5" thickBot="1">
      <c r="A57" s="561">
        <v>8</v>
      </c>
      <c r="B57" s="591" t="s">
        <v>721</v>
      </c>
      <c r="C57" s="549" t="s">
        <v>722</v>
      </c>
      <c r="D57" s="549">
        <f>'ТИП-ПРОИЗ'!E132</f>
        <v>0</v>
      </c>
      <c r="E57" s="553">
        <f>'ТИП-ПРОИЗ'!F132</f>
        <v>0</v>
      </c>
    </row>
    <row r="58" spans="1:5" ht="13.5" thickTop="1">
      <c r="A58" s="544"/>
      <c r="B58" s="545"/>
      <c r="C58" s="546"/>
      <c r="D58" s="546"/>
      <c r="E58" s="546"/>
    </row>
    <row r="59" spans="1:5" ht="13.5" thickBot="1"/>
    <row r="60" spans="1:5" ht="13.5" thickTop="1">
      <c r="A60" s="822" t="s">
        <v>40</v>
      </c>
      <c r="B60" s="562" t="s">
        <v>187</v>
      </c>
      <c r="C60" s="563" t="s">
        <v>3</v>
      </c>
      <c r="D60" s="564">
        <f>SUM('ТИП-ПРОИЗ'!E122,Разходи!E8)</f>
        <v>698.92910000000029</v>
      </c>
      <c r="E60" s="565">
        <f>SUM('ТИП-ПРОИЗ'!F122,Разходи!H8)</f>
        <v>751.94119999999998</v>
      </c>
    </row>
    <row r="61" spans="1:5" ht="13.5" thickBot="1">
      <c r="A61" s="823"/>
      <c r="B61" s="566" t="s">
        <v>188</v>
      </c>
      <c r="C61" s="567" t="s">
        <v>3</v>
      </c>
      <c r="D61" s="568">
        <f>ROUND(SUM(D7*D23,D30*D44)/1000,0)</f>
        <v>0</v>
      </c>
      <c r="E61" s="569">
        <f>ROUND(SUM(E7*E23,E30*E44)/1000,0)</f>
        <v>0</v>
      </c>
    </row>
    <row r="62" spans="1:5" ht="13.5" thickTop="1">
      <c r="A62" s="333"/>
      <c r="B62" s="334"/>
      <c r="C62" s="334"/>
      <c r="D62" s="334"/>
      <c r="E62" s="334"/>
    </row>
    <row r="63" spans="1:5">
      <c r="A63" s="334"/>
      <c r="B63" s="334"/>
      <c r="C63" s="334"/>
      <c r="D63" s="334"/>
      <c r="E63" s="334"/>
    </row>
    <row r="64" spans="1:5">
      <c r="A64" s="334"/>
      <c r="B64" s="334"/>
      <c r="C64" s="334"/>
      <c r="D64" s="334"/>
      <c r="E64" s="334"/>
    </row>
    <row r="65" spans="1:5">
      <c r="A65" s="334"/>
      <c r="B65" s="334"/>
      <c r="C65" s="334"/>
      <c r="D65" s="334"/>
      <c r="E65" s="334"/>
    </row>
    <row r="66" spans="1:5" ht="15.75">
      <c r="A66" s="335" t="str">
        <f>Разходи!$A$91</f>
        <v>Гл. счетоводител:</v>
      </c>
      <c r="B66" s="336"/>
      <c r="D66" s="337"/>
      <c r="E66" s="337"/>
    </row>
    <row r="67" spans="1:5">
      <c r="A67" s="335"/>
      <c r="B67" s="338" t="str">
        <f>Разходи!$B$93</f>
        <v>Гл.счетоводител/ М.Тодорова /</v>
      </c>
      <c r="D67" s="815" t="str">
        <f>Разходи!$F$93</f>
        <v>Изп.директор /Т.Йорданов/</v>
      </c>
      <c r="E67" s="815"/>
    </row>
    <row r="68" spans="1:5"/>
    <row r="69" spans="1:5"/>
    <row r="70" spans="1:5"/>
    <row r="71" spans="1:5"/>
    <row r="72" spans="1:5" hidden="1"/>
    <row r="73" spans="1:5" hidden="1"/>
    <row r="74" spans="1:5" hidden="1"/>
    <row r="75" spans="1:5" hidden="1"/>
    <row r="76" spans="1:5" hidden="1"/>
    <row r="77" spans="1:5" hidden="1"/>
    <row r="78" spans="1:5" hidden="1"/>
    <row r="79" spans="1:5" hidden="1"/>
    <row r="80" spans="1:5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/>
    <row r="163"/>
    <row r="164"/>
  </sheetData>
  <mergeCells count="14">
    <mergeCell ref="D67:E67"/>
    <mergeCell ref="B27:B28"/>
    <mergeCell ref="A27:A28"/>
    <mergeCell ref="C27:C28"/>
    <mergeCell ref="A60:A61"/>
    <mergeCell ref="C5:C6"/>
    <mergeCell ref="A48:A49"/>
    <mergeCell ref="B48:B49"/>
    <mergeCell ref="C48:C49"/>
    <mergeCell ref="B1:C1"/>
    <mergeCell ref="B2:C2"/>
    <mergeCell ref="B3:C3"/>
    <mergeCell ref="A5:A6"/>
    <mergeCell ref="B5:B6"/>
  </mergeCells>
  <phoneticPr fontId="0" type="noConversion"/>
  <printOptions horizontalCentered="1"/>
  <pageMargins left="0.74803149606299213" right="0.15748031496062992" top="0.78740157480314965" bottom="0.39370078740157483" header="0.11811023622047245" footer="0.11811023622047245"/>
  <pageSetup paperSize="9" scale="80" orientation="portrait" blackAndWhite="1" r:id="rId1"/>
  <headerFooter alignWithMargins="0"/>
  <ignoredErrors>
    <ignoredError sqref="D7:E7 D33:E33 D54:E54" formulaRange="1"/>
    <ignoredError sqref="D20:E21 D44:E44 D42:E42" unlockedFormula="1"/>
    <ignoredError sqref="D15:E15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BF98"/>
  <sheetViews>
    <sheetView showGridLines="0" showZeros="0" topLeftCell="B46" zoomScale="124" zoomScaleNormal="124" workbookViewId="0">
      <selection activeCell="E19" sqref="E19"/>
    </sheetView>
  </sheetViews>
  <sheetFormatPr defaultColWidth="0" defaultRowHeight="0" customHeight="1" zeroHeight="1"/>
  <cols>
    <col min="1" max="1" width="5.140625" style="624" customWidth="1"/>
    <col min="2" max="2" width="56.7109375" style="1" customWidth="1"/>
    <col min="3" max="3" width="8.7109375" style="1" customWidth="1"/>
    <col min="4" max="4" width="7.7109375" style="1" customWidth="1"/>
    <col min="5" max="5" width="10.7109375" style="20" customWidth="1"/>
    <col min="6" max="6" width="11.5703125" style="20" customWidth="1"/>
    <col min="7" max="7" width="9.140625" style="1" customWidth="1"/>
    <col min="8" max="16384" width="9.140625" style="1" hidden="1"/>
  </cols>
  <sheetData>
    <row r="1" spans="1:58" ht="18.75" customHeight="1">
      <c r="A1" s="595"/>
      <c r="B1" s="824">
        <v>6</v>
      </c>
      <c r="C1" s="824"/>
      <c r="D1" s="596"/>
      <c r="E1" s="596"/>
      <c r="F1" s="111" t="s">
        <v>696</v>
      </c>
    </row>
    <row r="2" spans="1:58" ht="14.25" customHeight="1">
      <c r="A2" s="596"/>
      <c r="B2" s="595"/>
      <c r="C2" s="596"/>
      <c r="D2" s="596"/>
      <c r="E2" s="596"/>
      <c r="F2" s="596"/>
    </row>
    <row r="3" spans="1:58" ht="14.25" customHeight="1">
      <c r="A3" s="597"/>
      <c r="B3" s="825" t="s">
        <v>189</v>
      </c>
      <c r="C3" s="825"/>
      <c r="D3" s="598"/>
      <c r="E3" s="598"/>
      <c r="F3" s="598"/>
    </row>
    <row r="4" spans="1:58" ht="14.25" customHeight="1">
      <c r="A4" s="599"/>
      <c r="B4" s="826" t="str">
        <f>'ТИП-ПРОИЗ'!$B$3:$C$3</f>
        <v>"ИНЕРТСТРОЙ-КАЛЕТО"АД</v>
      </c>
      <c r="C4" s="826"/>
      <c r="D4" s="599"/>
      <c r="E4" s="599"/>
      <c r="F4" s="599"/>
    </row>
    <row r="5" spans="1:58" ht="14.25" customHeight="1" thickBot="1">
      <c r="A5" s="600"/>
      <c r="B5" s="601"/>
      <c r="C5" s="601"/>
      <c r="D5" s="601"/>
      <c r="E5" s="601"/>
      <c r="F5" s="601"/>
    </row>
    <row r="6" spans="1:58" ht="14.25" customHeight="1" thickTop="1" thickBot="1">
      <c r="A6" s="828" t="s">
        <v>0</v>
      </c>
      <c r="B6" s="830" t="s">
        <v>160</v>
      </c>
      <c r="C6" s="830" t="s">
        <v>42</v>
      </c>
      <c r="D6" s="830" t="s">
        <v>14</v>
      </c>
      <c r="E6" s="297" t="s">
        <v>341</v>
      </c>
      <c r="F6" s="298" t="s">
        <v>342</v>
      </c>
    </row>
    <row r="7" spans="1:58" ht="13.5" thickTop="1">
      <c r="A7" s="829"/>
      <c r="B7" s="831"/>
      <c r="C7" s="831"/>
      <c r="D7" s="831"/>
      <c r="E7" s="82">
        <f>'ТИП-ПРОИЗ'!E6</f>
        <v>2015</v>
      </c>
      <c r="F7" s="675">
        <f>'ТИП-ПРОИЗ'!F6</f>
        <v>7.2016</v>
      </c>
    </row>
    <row r="8" spans="1:58" ht="13.5" customHeight="1">
      <c r="A8" s="602">
        <v>1</v>
      </c>
      <c r="B8" s="603">
        <v>2</v>
      </c>
      <c r="C8" s="603">
        <v>3</v>
      </c>
      <c r="D8" s="604">
        <v>4</v>
      </c>
      <c r="E8" s="603">
        <v>5</v>
      </c>
      <c r="F8" s="605">
        <v>6</v>
      </c>
      <c r="G8" s="606"/>
    </row>
    <row r="9" spans="1:58" ht="14.25" customHeight="1">
      <c r="A9" s="607">
        <v>1</v>
      </c>
      <c r="B9" s="608" t="s">
        <v>43</v>
      </c>
      <c r="C9" s="609" t="s">
        <v>44</v>
      </c>
      <c r="D9" s="584" t="s">
        <v>23</v>
      </c>
      <c r="E9" s="610"/>
      <c r="F9" s="611"/>
    </row>
    <row r="10" spans="1:58" ht="14.25" customHeight="1">
      <c r="A10" s="607">
        <v>2</v>
      </c>
      <c r="B10" s="608" t="s">
        <v>45</v>
      </c>
      <c r="C10" s="609" t="s">
        <v>217</v>
      </c>
      <c r="D10" s="584" t="s">
        <v>46</v>
      </c>
      <c r="E10" s="610"/>
      <c r="F10" s="611"/>
    </row>
    <row r="11" spans="1:58" ht="14.25" customHeight="1">
      <c r="A11" s="607">
        <v>3</v>
      </c>
      <c r="B11" s="608" t="s">
        <v>47</v>
      </c>
      <c r="C11" s="609" t="s">
        <v>48</v>
      </c>
      <c r="D11" s="584" t="s">
        <v>23</v>
      </c>
      <c r="E11" s="612">
        <f>ROUND(E9*1.05,0)</f>
        <v>0</v>
      </c>
      <c r="F11" s="613"/>
    </row>
    <row r="12" spans="1:58" ht="14.25" customHeight="1">
      <c r="A12" s="607">
        <v>4</v>
      </c>
      <c r="B12" s="608" t="s">
        <v>49</v>
      </c>
      <c r="C12" s="609" t="s">
        <v>50</v>
      </c>
      <c r="D12" s="584" t="s">
        <v>51</v>
      </c>
      <c r="E12" s="614"/>
      <c r="F12" s="611"/>
    </row>
    <row r="13" spans="1:58" ht="14.25" customHeight="1">
      <c r="A13" s="607">
        <v>5</v>
      </c>
      <c r="B13" s="608" t="s">
        <v>52</v>
      </c>
      <c r="C13" s="609" t="s">
        <v>53</v>
      </c>
      <c r="D13" s="584" t="s">
        <v>46</v>
      </c>
      <c r="E13" s="614"/>
      <c r="F13" s="611"/>
    </row>
    <row r="14" spans="1:58" ht="12.75" customHeight="1">
      <c r="A14" s="607">
        <v>6</v>
      </c>
      <c r="B14" s="608" t="s">
        <v>209</v>
      </c>
      <c r="C14" s="615" t="s">
        <v>224</v>
      </c>
      <c r="D14" s="584" t="s">
        <v>70</v>
      </c>
      <c r="E14" s="612">
        <f>IF(E9=0,0,(E9*E10-E11*E13)/3600)</f>
        <v>0</v>
      </c>
      <c r="F14" s="613">
        <f>IF(F9=0,0,(F9*F10-F11*F13)/3600)</f>
        <v>0</v>
      </c>
      <c r="H14" s="616"/>
      <c r="I14" s="616"/>
      <c r="J14" s="616"/>
      <c r="K14" s="616"/>
      <c r="L14" s="616"/>
      <c r="M14" s="616"/>
      <c r="N14" s="616"/>
      <c r="O14" s="616"/>
      <c r="P14" s="616"/>
      <c r="Q14" s="616"/>
      <c r="R14" s="616"/>
      <c r="S14" s="616"/>
      <c r="T14" s="616"/>
      <c r="U14" s="616"/>
      <c r="V14" s="616"/>
      <c r="W14" s="616"/>
      <c r="X14" s="616"/>
      <c r="Y14" s="616"/>
      <c r="Z14" s="616"/>
      <c r="AA14" s="616"/>
      <c r="AB14" s="616"/>
      <c r="AC14" s="616"/>
      <c r="AD14" s="616"/>
      <c r="AE14" s="616"/>
      <c r="AF14" s="616"/>
      <c r="AG14" s="616"/>
      <c r="AH14" s="616"/>
      <c r="AI14" s="616"/>
      <c r="AJ14" s="616"/>
      <c r="AK14" s="616"/>
      <c r="AL14" s="616"/>
      <c r="AM14" s="616"/>
      <c r="AN14" s="616"/>
      <c r="AO14" s="616"/>
      <c r="AP14" s="616"/>
      <c r="AQ14" s="616"/>
      <c r="AR14" s="616"/>
      <c r="AS14" s="616"/>
      <c r="AT14" s="616"/>
      <c r="AU14" s="616"/>
      <c r="AV14" s="616"/>
      <c r="AW14" s="616"/>
      <c r="AX14" s="616"/>
      <c r="AY14" s="616"/>
      <c r="AZ14" s="616"/>
      <c r="BA14" s="616"/>
      <c r="BB14" s="616"/>
      <c r="BC14" s="616"/>
      <c r="BD14" s="616"/>
      <c r="BE14" s="616"/>
      <c r="BF14" s="616"/>
    </row>
    <row r="15" spans="1:58" ht="12.75" customHeight="1">
      <c r="A15" s="607">
        <v>7</v>
      </c>
      <c r="B15" s="608" t="s">
        <v>421</v>
      </c>
      <c r="C15" s="61" t="s">
        <v>422</v>
      </c>
      <c r="D15" s="584" t="s">
        <v>7</v>
      </c>
      <c r="E15" s="617">
        <f>IF(E9=0,0,IF('ТИП-ПРОИЗ'!E32=0,0,E14/'ТИП-ПРОИЗ'!E32))</f>
        <v>0</v>
      </c>
      <c r="F15" s="618">
        <f>IF(F9=0,0,IF('ТИП-ПРОИЗ'!F32=0,0,F14/'ТИП-ПРОИЗ'!F32))</f>
        <v>0</v>
      </c>
      <c r="H15" s="616"/>
      <c r="I15" s="616"/>
      <c r="J15" s="616"/>
      <c r="K15" s="616"/>
      <c r="L15" s="616"/>
      <c r="M15" s="616"/>
      <c r="N15" s="616"/>
      <c r="O15" s="616"/>
      <c r="P15" s="616"/>
      <c r="Q15" s="616"/>
      <c r="R15" s="616"/>
      <c r="S15" s="616"/>
      <c r="T15" s="616"/>
      <c r="U15" s="616"/>
      <c r="V15" s="616"/>
      <c r="W15" s="616"/>
      <c r="X15" s="616"/>
      <c r="Y15" s="616"/>
      <c r="Z15" s="616"/>
      <c r="AA15" s="616"/>
      <c r="AB15" s="616"/>
      <c r="AC15" s="616"/>
      <c r="AD15" s="616"/>
      <c r="AE15" s="616"/>
      <c r="AF15" s="616"/>
      <c r="AG15" s="616"/>
      <c r="AH15" s="616"/>
      <c r="AI15" s="616"/>
      <c r="AJ15" s="616"/>
      <c r="AK15" s="616"/>
      <c r="AL15" s="616"/>
      <c r="AM15" s="616"/>
      <c r="AN15" s="616"/>
      <c r="AO15" s="616"/>
      <c r="AP15" s="616"/>
      <c r="AQ15" s="616"/>
      <c r="AR15" s="616"/>
      <c r="AS15" s="616"/>
      <c r="AT15" s="616"/>
      <c r="AU15" s="616"/>
      <c r="AV15" s="616"/>
      <c r="AW15" s="616"/>
      <c r="AX15" s="616"/>
      <c r="AY15" s="616"/>
      <c r="AZ15" s="616"/>
      <c r="BA15" s="616"/>
      <c r="BB15" s="616"/>
      <c r="BC15" s="616"/>
      <c r="BD15" s="616"/>
      <c r="BE15" s="616"/>
      <c r="BF15" s="616"/>
    </row>
    <row r="16" spans="1:58" ht="12.75" customHeight="1">
      <c r="A16" s="607">
        <v>8</v>
      </c>
      <c r="B16" s="619" t="s">
        <v>36</v>
      </c>
      <c r="C16" s="61" t="s">
        <v>738</v>
      </c>
      <c r="D16" s="584" t="s">
        <v>86</v>
      </c>
      <c r="E16" s="620"/>
      <c r="F16" s="621"/>
    </row>
    <row r="17" spans="1:7" ht="14.25">
      <c r="A17" s="607">
        <v>9</v>
      </c>
      <c r="B17" s="662" t="s">
        <v>739</v>
      </c>
      <c r="C17" s="663" t="s">
        <v>765</v>
      </c>
      <c r="D17" s="584" t="s">
        <v>7</v>
      </c>
      <c r="E17" s="622">
        <v>0.9</v>
      </c>
      <c r="F17" s="623">
        <v>0.9</v>
      </c>
    </row>
    <row r="18" spans="1:7" ht="14.25">
      <c r="A18" s="607">
        <v>10</v>
      </c>
      <c r="B18" s="662" t="s">
        <v>740</v>
      </c>
      <c r="C18" s="663" t="s">
        <v>766</v>
      </c>
      <c r="D18" s="584" t="s">
        <v>7</v>
      </c>
      <c r="E18" s="622">
        <v>0.4965</v>
      </c>
      <c r="F18" s="623">
        <v>0.4965</v>
      </c>
    </row>
    <row r="19" spans="1:7" ht="14.25">
      <c r="A19" s="607">
        <v>11</v>
      </c>
      <c r="B19" s="662" t="s">
        <v>397</v>
      </c>
      <c r="C19" s="664" t="s">
        <v>751</v>
      </c>
      <c r="D19" s="584" t="s">
        <v>7</v>
      </c>
      <c r="E19" s="592">
        <f>SUM(E20:E21)</f>
        <v>0.72750181294999661</v>
      </c>
      <c r="F19" s="594">
        <f>SUM(F20:F21)</f>
        <v>0.71734984731891682</v>
      </c>
    </row>
    <row r="20" spans="1:7" ht="14.25">
      <c r="A20" s="607">
        <v>12</v>
      </c>
      <c r="B20" s="662" t="s">
        <v>249</v>
      </c>
      <c r="C20" s="663" t="s">
        <v>767</v>
      </c>
      <c r="D20" s="584" t="s">
        <v>7</v>
      </c>
      <c r="E20" s="625">
        <f>IF('ТИП-ПРОИЗ'!E32=0,0,SUM('ТИП-ПРОИЗ'!E8,-'ТИП-ПРОИЗ'!E45)/'ТИП-ПРОИЗ'!E32)</f>
        <v>0.34827214449733879</v>
      </c>
      <c r="F20" s="593">
        <f>IF('ТИП-ПРОИЗ'!F32=0,0,SUM('ТИП-ПРОИЗ'!F8,-'ТИП-ПРОИЗ'!F45)/'ТИП-ПРОИЗ'!F32)</f>
        <v>0.34159516538996043</v>
      </c>
    </row>
    <row r="21" spans="1:7" ht="17.25" customHeight="1">
      <c r="A21" s="607">
        <v>13</v>
      </c>
      <c r="B21" s="662" t="s">
        <v>248</v>
      </c>
      <c r="C21" s="663" t="s">
        <v>768</v>
      </c>
      <c r="D21" s="584" t="s">
        <v>7</v>
      </c>
      <c r="E21" s="625">
        <f>IF('ТИП-ПРОИЗ'!E32=0,0,'ТИП-ПРОИЗ'!E27/'ТИП-ПРОИЗ'!E32)</f>
        <v>0.37922966845265782</v>
      </c>
      <c r="F21" s="593">
        <f>IF('ТИП-ПРОИЗ'!F32=0,0,'ТИП-ПРОИЗ'!F27/'ТИП-ПРОИЗ'!F32)</f>
        <v>0.37575468192895645</v>
      </c>
    </row>
    <row r="22" spans="1:7" ht="20.25" customHeight="1">
      <c r="A22" s="607">
        <v>21</v>
      </c>
      <c r="B22" s="665" t="s">
        <v>741</v>
      </c>
      <c r="C22" s="16" t="s">
        <v>744</v>
      </c>
      <c r="D22" s="584" t="s">
        <v>86</v>
      </c>
      <c r="E22" s="571">
        <f>IF(E18=0,0,IF(E17=0,0,IF(SUM(E21/E18,E20/E17)=0,0,(E21/E18)/SUM(E21/E18,E20/E17))))</f>
        <v>0.66373179817135119</v>
      </c>
      <c r="F22" s="678">
        <f>IF(F18=0,0,IF(F17=0,0,IF(SUM(F21/F18,F20/F17)=0,0,(F21/F18)/SUM(F21/F18,F20/F17))))</f>
        <v>0.66599394550958624</v>
      </c>
    </row>
    <row r="23" spans="1:7" ht="12.75">
      <c r="A23" s="607">
        <v>22</v>
      </c>
      <c r="B23" s="629" t="s">
        <v>742</v>
      </c>
      <c r="C23" s="626" t="s">
        <v>547</v>
      </c>
      <c r="D23" s="627" t="s">
        <v>70</v>
      </c>
      <c r="E23" s="628">
        <f>E22*'ТИП-ПРОИЗ'!E32</f>
        <v>17152.064205892315</v>
      </c>
      <c r="F23" s="679">
        <f>F22*'ТИП-ПРОИЗ'!F32</f>
        <v>19496.585812310797</v>
      </c>
    </row>
    <row r="24" spans="1:7" ht="15.75">
      <c r="A24" s="607">
        <v>23</v>
      </c>
      <c r="B24" s="572" t="s">
        <v>743</v>
      </c>
      <c r="C24" s="16" t="s">
        <v>745</v>
      </c>
      <c r="D24" s="584"/>
      <c r="E24" s="94">
        <f>IF(SUM('ТИП-ПРОИЗ'!E32,'ТИП-ПРОИЗ'!E49)=0,0,E23/'ТИП-ПРОИЗ'!E69)</f>
        <v>0.66373178622513462</v>
      </c>
      <c r="F24" s="680">
        <f>IF(SUM('ТИП-ПРОИЗ'!F32,'ТИП-ПРОИЗ'!F49)=0,0,F23/'ТИП-ПРОИЗ'!F69)</f>
        <v>0.66599395450378474</v>
      </c>
    </row>
    <row r="25" spans="1:7" ht="14.25">
      <c r="A25" s="607">
        <v>24</v>
      </c>
      <c r="B25" s="80" t="s">
        <v>399</v>
      </c>
      <c r="C25" s="61" t="s">
        <v>326</v>
      </c>
      <c r="D25" s="61" t="s">
        <v>383</v>
      </c>
      <c r="E25" s="83">
        <f>'ТИП-ПРОИЗ'!E27*'ТИП-ПРОИЗ'!E42/1000</f>
        <v>2107.2939999999999</v>
      </c>
      <c r="F25" s="681">
        <f>'ТИП-ПРОИЗ'!F27*'ТИП-ПРОИЗ'!F42/1000</f>
        <v>2395.25</v>
      </c>
      <c r="G25" s="92"/>
    </row>
    <row r="26" spans="1:7" ht="14.25">
      <c r="A26" s="607">
        <v>25</v>
      </c>
      <c r="B26" s="80" t="s">
        <v>398</v>
      </c>
      <c r="C26" s="61" t="s">
        <v>331</v>
      </c>
      <c r="D26" s="61" t="s">
        <v>383</v>
      </c>
      <c r="E26" s="90">
        <f>SUM('ТИП-ПРОИЗ'!E68,-E25)</f>
        <v>1067.5631428571428</v>
      </c>
      <c r="F26" s="682">
        <f>SUM('ТИП-ПРОИЗ'!F68,-F25)</f>
        <v>1201.3214285714284</v>
      </c>
      <c r="G26" s="92"/>
    </row>
    <row r="27" spans="1:7" ht="15.75">
      <c r="A27" s="607">
        <v>26</v>
      </c>
      <c r="B27" s="80" t="s">
        <v>733</v>
      </c>
      <c r="C27" s="16" t="s">
        <v>734</v>
      </c>
      <c r="D27" s="16" t="s">
        <v>86</v>
      </c>
      <c r="E27" s="510">
        <f>IF(SUM('ТИП-ПРОИЗ'!E8,'ТИП-ПРОИЗ'!E27)=0,0,'ТИП-ПРОИЗ'!E27/SUM('ТИП-ПРОИЗ'!E8,'ТИП-ПРОИЗ'!E27))</f>
        <v>0.52127659574468088</v>
      </c>
      <c r="F27" s="683">
        <f>IF(SUM('ТИП-ПРОИЗ'!F8,'ТИП-ПРОИЗ'!F27)=0,0,'ТИП-ПРОИЗ'!F27/SUM('ТИП-ПРОИЗ'!F8,'ТИП-ПРОИЗ'!F27))</f>
        <v>0.52380952380952384</v>
      </c>
      <c r="G27" s="92"/>
    </row>
    <row r="28" spans="1:7" s="633" customFormat="1" ht="14.25" customHeight="1">
      <c r="A28" s="607">
        <v>27</v>
      </c>
      <c r="B28" s="630" t="s">
        <v>689</v>
      </c>
      <c r="C28" s="631" t="s">
        <v>81</v>
      </c>
      <c r="D28" s="632" t="s">
        <v>23</v>
      </c>
      <c r="E28" s="614"/>
      <c r="F28" s="611"/>
    </row>
    <row r="29" spans="1:7" s="633" customFormat="1" ht="14.25" customHeight="1">
      <c r="A29" s="607">
        <v>28</v>
      </c>
      <c r="B29" s="630" t="s">
        <v>690</v>
      </c>
      <c r="C29" s="631" t="s">
        <v>218</v>
      </c>
      <c r="D29" s="632" t="s">
        <v>46</v>
      </c>
      <c r="E29" s="614"/>
      <c r="F29" s="611"/>
    </row>
    <row r="30" spans="1:7" s="633" customFormat="1" ht="14.25" customHeight="1">
      <c r="A30" s="607">
        <v>29</v>
      </c>
      <c r="B30" s="630" t="s">
        <v>210</v>
      </c>
      <c r="C30" s="631" t="s">
        <v>81</v>
      </c>
      <c r="D30" s="632" t="s">
        <v>23</v>
      </c>
      <c r="E30" s="614"/>
      <c r="F30" s="611"/>
    </row>
    <row r="31" spans="1:7" s="633" customFormat="1" ht="14.25" customHeight="1">
      <c r="A31" s="607">
        <v>30</v>
      </c>
      <c r="B31" s="630" t="s">
        <v>211</v>
      </c>
      <c r="C31" s="631" t="s">
        <v>218</v>
      </c>
      <c r="D31" s="632" t="s">
        <v>46</v>
      </c>
      <c r="E31" s="614"/>
      <c r="F31" s="611"/>
    </row>
    <row r="32" spans="1:7" s="633" customFormat="1" ht="14.25" customHeight="1">
      <c r="A32" s="607">
        <v>31</v>
      </c>
      <c r="B32" s="634" t="s">
        <v>54</v>
      </c>
      <c r="C32" s="631" t="s">
        <v>55</v>
      </c>
      <c r="D32" s="632" t="s">
        <v>23</v>
      </c>
      <c r="E32" s="635">
        <f>SUM(E9,-E28)</f>
        <v>0</v>
      </c>
      <c r="F32" s="613">
        <f>SUM(F9,-F28)</f>
        <v>0</v>
      </c>
    </row>
    <row r="33" spans="1:6" s="633" customFormat="1" ht="14.25" customHeight="1">
      <c r="A33" s="607">
        <v>32</v>
      </c>
      <c r="B33" s="636" t="s">
        <v>56</v>
      </c>
      <c r="C33" s="631" t="s">
        <v>219</v>
      </c>
      <c r="D33" s="632" t="s">
        <v>46</v>
      </c>
      <c r="E33" s="614"/>
      <c r="F33" s="611"/>
    </row>
    <row r="34" spans="1:6" ht="12.75" customHeight="1">
      <c r="A34" s="607">
        <v>33</v>
      </c>
      <c r="B34" s="636" t="s">
        <v>78</v>
      </c>
      <c r="C34" s="609"/>
      <c r="D34" s="584" t="s">
        <v>70</v>
      </c>
      <c r="E34" s="635">
        <f>SUM(E35:E36)</f>
        <v>0</v>
      </c>
      <c r="F34" s="613">
        <f>SUM(F35:F36)</f>
        <v>0</v>
      </c>
    </row>
    <row r="35" spans="1:6" ht="12.75" customHeight="1">
      <c r="A35" s="607" t="s">
        <v>749</v>
      </c>
      <c r="B35" s="637" t="s">
        <v>212</v>
      </c>
      <c r="C35" s="609"/>
      <c r="D35" s="584" t="s">
        <v>70</v>
      </c>
      <c r="E35" s="614"/>
      <c r="F35" s="611"/>
    </row>
    <row r="36" spans="1:6" ht="12.75" customHeight="1">
      <c r="A36" s="607" t="s">
        <v>750</v>
      </c>
      <c r="B36" s="637" t="s">
        <v>213</v>
      </c>
      <c r="C36" s="609"/>
      <c r="D36" s="584" t="s">
        <v>70</v>
      </c>
      <c r="E36" s="614"/>
      <c r="F36" s="611"/>
    </row>
    <row r="37" spans="1:6" ht="14.25" customHeight="1">
      <c r="A37" s="607">
        <v>34</v>
      </c>
      <c r="B37" s="636" t="s">
        <v>57</v>
      </c>
      <c r="C37" s="609" t="s">
        <v>58</v>
      </c>
      <c r="D37" s="584" t="s">
        <v>23</v>
      </c>
      <c r="E37" s="614"/>
      <c r="F37" s="611"/>
    </row>
    <row r="38" spans="1:6" ht="14.25" customHeight="1">
      <c r="A38" s="607">
        <v>35</v>
      </c>
      <c r="B38" s="636" t="s">
        <v>59</v>
      </c>
      <c r="C38" s="609" t="s">
        <v>220</v>
      </c>
      <c r="D38" s="584" t="s">
        <v>46</v>
      </c>
      <c r="E38" s="614"/>
      <c r="F38" s="611"/>
    </row>
    <row r="39" spans="1:6" ht="14.25" customHeight="1">
      <c r="A39" s="607">
        <v>36</v>
      </c>
      <c r="B39" s="636" t="s">
        <v>730</v>
      </c>
      <c r="C39" s="609" t="s">
        <v>729</v>
      </c>
      <c r="D39" s="584"/>
      <c r="E39" s="638">
        <f>IF(E37=0,0,'ТИП-ПРОИЗ'!E47/Коефициенти!E37*3600)</f>
        <v>0</v>
      </c>
      <c r="F39" s="639">
        <f>IF(F37=0,0,'ТИП-ПРОИЗ'!F47/Коефициенти!F37*3600)</f>
        <v>0</v>
      </c>
    </row>
    <row r="40" spans="1:6" ht="14.25" customHeight="1">
      <c r="A40" s="607">
        <v>37</v>
      </c>
      <c r="B40" s="636" t="s">
        <v>727</v>
      </c>
      <c r="C40" s="609" t="s">
        <v>50</v>
      </c>
      <c r="D40" s="584" t="s">
        <v>728</v>
      </c>
      <c r="E40" s="638">
        <f>SUM(E38,-E39)/3600*860</f>
        <v>0</v>
      </c>
      <c r="F40" s="639">
        <f>SUM(F38,-F39)/3600*860</f>
        <v>0</v>
      </c>
    </row>
    <row r="41" spans="1:6" ht="14.25" customHeight="1">
      <c r="A41" s="607">
        <v>38</v>
      </c>
      <c r="B41" s="634" t="s">
        <v>60</v>
      </c>
      <c r="C41" s="615" t="s">
        <v>61</v>
      </c>
      <c r="D41" s="584" t="s">
        <v>23</v>
      </c>
      <c r="E41" s="614"/>
      <c r="F41" s="611"/>
    </row>
    <row r="42" spans="1:6" ht="14.25" customHeight="1">
      <c r="A42" s="607">
        <v>39</v>
      </c>
      <c r="B42" s="640" t="s">
        <v>62</v>
      </c>
      <c r="C42" s="609" t="s">
        <v>221</v>
      </c>
      <c r="D42" s="584" t="s">
        <v>46</v>
      </c>
      <c r="E42" s="614"/>
      <c r="F42" s="611"/>
    </row>
    <row r="43" spans="1:6" ht="14.25" customHeight="1">
      <c r="A43" s="607">
        <v>40</v>
      </c>
      <c r="B43" s="634" t="s">
        <v>82</v>
      </c>
      <c r="C43" s="615" t="s">
        <v>63</v>
      </c>
      <c r="D43" s="632" t="s">
        <v>23</v>
      </c>
      <c r="E43" s="610"/>
      <c r="F43" s="611"/>
    </row>
    <row r="44" spans="1:6" ht="14.25" customHeight="1">
      <c r="A44" s="607">
        <v>41</v>
      </c>
      <c r="B44" s="634" t="s">
        <v>64</v>
      </c>
      <c r="C44" s="615" t="s">
        <v>222</v>
      </c>
      <c r="D44" s="584" t="s">
        <v>46</v>
      </c>
      <c r="E44" s="610"/>
      <c r="F44" s="611"/>
    </row>
    <row r="45" spans="1:6" ht="14.25" customHeight="1">
      <c r="A45" s="607">
        <v>42</v>
      </c>
      <c r="B45" s="636" t="s">
        <v>65</v>
      </c>
      <c r="C45" s="609" t="s">
        <v>66</v>
      </c>
      <c r="D45" s="584" t="s">
        <v>423</v>
      </c>
      <c r="E45" s="610"/>
      <c r="F45" s="611"/>
    </row>
    <row r="46" spans="1:6" ht="14.25" customHeight="1">
      <c r="A46" s="607">
        <v>43</v>
      </c>
      <c r="B46" s="636" t="s">
        <v>67</v>
      </c>
      <c r="C46" s="609" t="s">
        <v>66</v>
      </c>
      <c r="D46" s="584" t="s">
        <v>423</v>
      </c>
      <c r="E46" s="610"/>
      <c r="F46" s="611"/>
    </row>
    <row r="47" spans="1:6" ht="14.25" customHeight="1">
      <c r="A47" s="607">
        <v>44</v>
      </c>
      <c r="B47" s="634" t="s">
        <v>68</v>
      </c>
      <c r="C47" s="609" t="s">
        <v>69</v>
      </c>
      <c r="D47" s="584" t="s">
        <v>70</v>
      </c>
      <c r="E47" s="610"/>
      <c r="F47" s="611"/>
    </row>
    <row r="48" spans="1:6" ht="14.25" customHeight="1">
      <c r="A48" s="607">
        <v>45</v>
      </c>
      <c r="B48" s="634" t="s">
        <v>200</v>
      </c>
      <c r="C48" s="609"/>
      <c r="D48" s="641" t="s">
        <v>3</v>
      </c>
      <c r="E48" s="642">
        <f>ROUND(Разходи!D63*E22,5)</f>
        <v>987.58313999999996</v>
      </c>
      <c r="F48" s="643">
        <f>ROUND(Разходи!G63*F22,5)</f>
        <v>1052.5734600000001</v>
      </c>
    </row>
    <row r="49" spans="1:7" ht="14.25" customHeight="1">
      <c r="A49" s="607">
        <v>46</v>
      </c>
      <c r="B49" s="634" t="s">
        <v>201</v>
      </c>
      <c r="C49" s="609"/>
      <c r="D49" s="584" t="s">
        <v>204</v>
      </c>
      <c r="E49" s="644">
        <f>IF('ТИП-ПРОИЗ'!E27=0,0,ROUND(E48/'ТИП-ПРОИЗ'!E27*1000,2))</f>
        <v>100.77</v>
      </c>
      <c r="F49" s="645">
        <f>IF('ТИП-ПРОИЗ'!F27=0,0,ROUND(F48/'ТИП-ПРОИЗ'!F27*1000,2))</f>
        <v>95.69</v>
      </c>
    </row>
    <row r="50" spans="1:7" ht="14.25" customHeight="1">
      <c r="A50" s="607">
        <v>47</v>
      </c>
      <c r="B50" s="634" t="s">
        <v>202</v>
      </c>
      <c r="C50" s="609"/>
      <c r="D50" s="641" t="s">
        <v>3</v>
      </c>
      <c r="E50" s="612">
        <f>ROUND(SUM(Разходи!D63,Разходи!D69,-E48),5)</f>
        <v>500.34186</v>
      </c>
      <c r="F50" s="613">
        <f>ROUND(SUM(Разходи!G63,Разходи!G69,-F48),5)</f>
        <v>527.88153999999997</v>
      </c>
    </row>
    <row r="51" spans="1:7" ht="14.25" customHeight="1">
      <c r="A51" s="607">
        <v>48</v>
      </c>
      <c r="B51" s="634" t="s">
        <v>688</v>
      </c>
      <c r="C51" s="609"/>
      <c r="D51" s="584" t="s">
        <v>204</v>
      </c>
      <c r="E51" s="646">
        <f>IF('ТИП-ПРОИЗ'!E8=0,0,ROUND(E50*1000/'ТИП-ПРОИЗ'!E8,2))</f>
        <v>55.59</v>
      </c>
      <c r="F51" s="647">
        <f>IF('ТИП-ПРОИЗ'!F8=0,0,ROUND(F50*1000/'ТИП-ПРОИЗ'!F8,2))</f>
        <v>52.79</v>
      </c>
      <c r="G51" s="1">
        <f>IF('ТИП-ПРОИЗ'!G8=0,0,ROUND(G50*1000/'ТИП-ПРОИЗ'!G8,2))</f>
        <v>0</v>
      </c>
    </row>
    <row r="52" spans="1:7" ht="14.25" customHeight="1">
      <c r="A52" s="607">
        <v>49</v>
      </c>
      <c r="B52" s="634" t="s">
        <v>195</v>
      </c>
      <c r="C52" s="609"/>
      <c r="D52" s="641" t="s">
        <v>3</v>
      </c>
      <c r="E52" s="612">
        <f>ROUND(E50-E53,5)</f>
        <v>500.34186</v>
      </c>
      <c r="F52" s="613">
        <f>ROUND(F50-F53,5)</f>
        <v>527.88153999999997</v>
      </c>
    </row>
    <row r="53" spans="1:7" ht="14.25" customHeight="1">
      <c r="A53" s="607">
        <v>50</v>
      </c>
      <c r="B53" s="634" t="s">
        <v>194</v>
      </c>
      <c r="C53" s="609"/>
      <c r="D53" s="641" t="s">
        <v>3</v>
      </c>
      <c r="E53" s="612">
        <f>ROUND(E51*'ТИП-ПРОИЗ'!E10/1000,5)</f>
        <v>0</v>
      </c>
      <c r="F53" s="613">
        <f>ROUND(F51*'ТИП-ПРОИЗ'!F10/1000,5)</f>
        <v>0</v>
      </c>
    </row>
    <row r="54" spans="1:7" ht="14.25" customHeight="1" thickBot="1">
      <c r="A54" s="648">
        <v>51</v>
      </c>
      <c r="B54" s="649" t="s">
        <v>228</v>
      </c>
      <c r="C54" s="650" t="s">
        <v>424</v>
      </c>
      <c r="D54" s="651" t="s">
        <v>86</v>
      </c>
      <c r="E54" s="652">
        <f>ROUND(IF(E50=0,0,E52/E50),4)</f>
        <v>1</v>
      </c>
      <c r="F54" s="653">
        <f>ROUND(IF(F50=0,0,F52/F50),4)</f>
        <v>1</v>
      </c>
    </row>
    <row r="55" spans="1:7" ht="14.25" customHeight="1" thickTop="1"/>
    <row r="56" spans="1:7" ht="14.25" customHeight="1"/>
    <row r="57" spans="1:7" ht="14.25" customHeight="1"/>
    <row r="58" spans="1:7" ht="14.25" customHeight="1"/>
    <row r="59" spans="1:7" ht="15.75">
      <c r="A59" s="1" t="str">
        <f>Разходи!$A$91</f>
        <v>Гл. счетоводител:</v>
      </c>
      <c r="B59" s="654"/>
      <c r="D59" s="655" t="str">
        <f>Разходи!$E$91</f>
        <v>Изп. директор:</v>
      </c>
      <c r="E59" s="656"/>
      <c r="F59" s="656"/>
      <c r="G59" s="657"/>
    </row>
    <row r="60" spans="1:7" ht="12.75">
      <c r="A60" s="1"/>
      <c r="B60" s="658" t="str">
        <f>Разходи!$B$93</f>
        <v>Гл.счетоводител/ М.Тодорова /</v>
      </c>
      <c r="D60" s="657"/>
      <c r="E60" s="827" t="str">
        <f>Разходи!$F$93</f>
        <v>Изп.директор /Т.Йорданов/</v>
      </c>
      <c r="F60" s="827"/>
      <c r="G60" s="827"/>
    </row>
    <row r="61" spans="1:7" ht="14.25" customHeight="1">
      <c r="B61" s="633"/>
      <c r="C61" s="633"/>
      <c r="D61" s="633"/>
      <c r="E61" s="659"/>
      <c r="F61" s="659"/>
    </row>
    <row r="62" spans="1:7" ht="14.25" customHeight="1">
      <c r="B62" s="633"/>
      <c r="C62" s="633"/>
      <c r="D62" s="633"/>
      <c r="E62" s="660"/>
      <c r="F62" s="660"/>
    </row>
    <row r="63" spans="1:7" ht="14.25" customHeight="1">
      <c r="E63" s="661"/>
      <c r="F63" s="661"/>
    </row>
    <row r="64" spans="1:7" ht="14.25" customHeight="1"/>
    <row r="65" spans="1:4" ht="14.25" customHeight="1"/>
    <row r="66" spans="1:4" ht="14.25" customHeight="1">
      <c r="A66" s="1"/>
    </row>
    <row r="67" spans="1:4" ht="12.75">
      <c r="A67" s="1"/>
    </row>
    <row r="68" spans="1:4" ht="12.75">
      <c r="A68" s="1"/>
    </row>
    <row r="69" spans="1:4" ht="12.75">
      <c r="A69" s="81"/>
      <c r="D69" s="20"/>
    </row>
    <row r="70" spans="1:4" ht="12.75">
      <c r="A70" s="81"/>
      <c r="D70" s="20"/>
    </row>
    <row r="71" spans="1:4" ht="12.75">
      <c r="A71" s="81"/>
      <c r="D71" s="20"/>
    </row>
    <row r="72" spans="1:4" ht="14.25" customHeight="1"/>
    <row r="73" spans="1:4" ht="14.25" customHeight="1"/>
    <row r="74" spans="1:4" ht="14.25" customHeight="1"/>
    <row r="75" spans="1:4" ht="14.25" customHeight="1"/>
    <row r="76" spans="1:4" ht="14.25" customHeight="1"/>
    <row r="77" spans="1:4" ht="14.25" customHeight="1"/>
    <row r="78" spans="1:4" ht="14.25" customHeight="1"/>
    <row r="79" spans="1:4" ht="14.25" customHeight="1"/>
    <row r="80" spans="1:4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</sheetData>
  <mergeCells count="8">
    <mergeCell ref="B1:C1"/>
    <mergeCell ref="B3:C3"/>
    <mergeCell ref="B4:C4"/>
    <mergeCell ref="E60:G60"/>
    <mergeCell ref="A6:A7"/>
    <mergeCell ref="B6:B7"/>
    <mergeCell ref="C6:C7"/>
    <mergeCell ref="D6:D7"/>
  </mergeCells>
  <phoneticPr fontId="0" type="noConversion"/>
  <printOptions horizontalCentered="1"/>
  <pageMargins left="0.74803149606299213" right="0.15748031496062992" top="0.78740157480314965" bottom="0.39370078740157483" header="0.51181102362204722" footer="0.31496062992125984"/>
  <pageSetup paperSize="9" scale="80" orientation="portrait" r:id="rId1"/>
  <headerFooter alignWithMargins="0"/>
  <ignoredErrors>
    <ignoredError sqref="E32" unlockedFormula="1"/>
    <ignoredError sqref="E34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S328"/>
  <sheetViews>
    <sheetView showZeros="0" topLeftCell="A25" workbookViewId="0">
      <selection activeCell="D11" sqref="D11"/>
    </sheetView>
  </sheetViews>
  <sheetFormatPr defaultColWidth="0" defaultRowHeight="12.75" zeroHeight="1"/>
  <cols>
    <col min="1" max="1" width="3.7109375" style="137" customWidth="1"/>
    <col min="2" max="2" width="27.7109375" style="137" customWidth="1"/>
    <col min="3" max="3" width="8.7109375" style="137" customWidth="1"/>
    <col min="4" max="4" width="9.5703125" style="137" customWidth="1"/>
    <col min="5" max="12" width="8.7109375" style="137" customWidth="1"/>
    <col min="13" max="18" width="0" style="137" hidden="1" customWidth="1"/>
    <col min="19" max="19" width="10.7109375" style="137" hidden="1" customWidth="1"/>
    <col min="20" max="16384" width="0" style="137" hidden="1"/>
  </cols>
  <sheetData>
    <row r="1" spans="1:12" ht="12.75" customHeight="1">
      <c r="A1" s="157">
        <v>1</v>
      </c>
      <c r="B1" s="847" t="s">
        <v>612</v>
      </c>
      <c r="C1" s="847"/>
      <c r="D1" s="847"/>
      <c r="E1" s="847"/>
      <c r="F1" s="847"/>
      <c r="G1" s="847"/>
      <c r="H1" s="847"/>
      <c r="I1" s="847"/>
      <c r="J1" s="514"/>
      <c r="K1" s="138" t="s">
        <v>709</v>
      </c>
    </row>
    <row r="2" spans="1:12" ht="12.75" customHeight="1">
      <c r="B2" s="847" t="str">
        <f>'ТИП-ПРОИЗ'!$B$3</f>
        <v>"ИНЕРТСТРОЙ-КАЛЕТО"АД</v>
      </c>
      <c r="C2" s="847"/>
      <c r="D2" s="847"/>
      <c r="E2" s="847"/>
      <c r="F2" s="847"/>
      <c r="G2" s="847"/>
      <c r="H2" s="847"/>
      <c r="I2" s="847"/>
      <c r="J2" s="514"/>
      <c r="K2" s="514"/>
    </row>
    <row r="3" spans="1:12"/>
    <row r="4" spans="1:12">
      <c r="A4" s="158" t="s">
        <v>0</v>
      </c>
      <c r="B4" s="159" t="s">
        <v>396</v>
      </c>
      <c r="C4" s="158" t="s">
        <v>389</v>
      </c>
      <c r="D4" s="845">
        <f>IF(D6=0,0,(D6/D8-D7)*860/D6)</f>
        <v>1174.6008607303706</v>
      </c>
      <c r="E4" s="845"/>
      <c r="F4" s="845"/>
      <c r="G4" s="845"/>
      <c r="H4" s="845"/>
      <c r="I4" s="845"/>
      <c r="J4" s="845"/>
      <c r="K4" s="845"/>
    </row>
    <row r="5" spans="1:12">
      <c r="A5" s="149">
        <v>1</v>
      </c>
      <c r="B5" s="149" t="s">
        <v>471</v>
      </c>
      <c r="C5" s="112"/>
      <c r="D5" s="112" t="s">
        <v>152</v>
      </c>
      <c r="E5" s="112" t="s">
        <v>240</v>
      </c>
      <c r="F5" s="112" t="s">
        <v>241</v>
      </c>
      <c r="G5" s="112" t="s">
        <v>242</v>
      </c>
      <c r="H5" s="112" t="s">
        <v>243</v>
      </c>
      <c r="I5" s="112" t="s">
        <v>244</v>
      </c>
      <c r="J5" s="112" t="s">
        <v>245</v>
      </c>
      <c r="K5" s="112" t="s">
        <v>454</v>
      </c>
    </row>
    <row r="6" spans="1:12">
      <c r="A6" s="112" t="s">
        <v>262</v>
      </c>
      <c r="B6" s="160" t="s">
        <v>674</v>
      </c>
      <c r="C6" s="112" t="s">
        <v>247</v>
      </c>
      <c r="D6" s="161">
        <v>2.0270000000000001</v>
      </c>
      <c r="E6" s="67">
        <v>2.0270000000000001</v>
      </c>
      <c r="F6" s="67"/>
      <c r="G6" s="67"/>
      <c r="H6" s="67"/>
      <c r="I6" s="67"/>
      <c r="J6" s="67"/>
      <c r="K6" s="67"/>
    </row>
    <row r="7" spans="1:12">
      <c r="A7" s="112" t="s">
        <v>263</v>
      </c>
      <c r="B7" s="160" t="s">
        <v>163</v>
      </c>
      <c r="C7" s="112" t="s">
        <v>246</v>
      </c>
      <c r="D7" s="161">
        <f>SUM(E7:K7)</f>
        <v>1.9019999999999999</v>
      </c>
      <c r="E7" s="67">
        <v>1.9019999999999999</v>
      </c>
      <c r="F7" s="67"/>
      <c r="G7" s="67"/>
      <c r="H7" s="67"/>
      <c r="I7" s="67"/>
      <c r="J7" s="67"/>
      <c r="K7" s="67"/>
    </row>
    <row r="8" spans="1:12">
      <c r="A8" s="112" t="s">
        <v>264</v>
      </c>
      <c r="B8" s="160" t="s">
        <v>248</v>
      </c>
      <c r="C8" s="112" t="s">
        <v>7</v>
      </c>
      <c r="D8" s="162">
        <f>IF(D6=0,0,SUMPRODUCT(E8:K8,E6:K6)/D6)</f>
        <v>0.434</v>
      </c>
      <c r="E8" s="68">
        <v>0.434</v>
      </c>
      <c r="F8" s="68"/>
      <c r="G8" s="68"/>
      <c r="H8" s="68"/>
      <c r="I8" s="68"/>
      <c r="J8" s="68"/>
      <c r="K8" s="68"/>
    </row>
    <row r="9" spans="1:12">
      <c r="A9" s="112" t="s">
        <v>265</v>
      </c>
      <c r="B9" s="160" t="s">
        <v>249</v>
      </c>
      <c r="C9" s="112" t="s">
        <v>7</v>
      </c>
      <c r="D9" s="162">
        <f>IF(D7=0,0,SUMPRODUCT(E9:K9,E7:K7)/D7)</f>
        <v>0.42800000000000005</v>
      </c>
      <c r="E9" s="68">
        <v>0.42799999999999999</v>
      </c>
      <c r="F9" s="68"/>
      <c r="G9" s="68"/>
      <c r="H9" s="68"/>
      <c r="I9" s="68"/>
      <c r="J9" s="68"/>
      <c r="K9" s="68"/>
    </row>
    <row r="10" spans="1:12">
      <c r="A10" s="112" t="s">
        <v>266</v>
      </c>
      <c r="B10" s="160" t="s">
        <v>397</v>
      </c>
      <c r="C10" s="112" t="s">
        <v>7</v>
      </c>
      <c r="D10" s="163">
        <f>SUM(D8:D9)</f>
        <v>0.8620000000000001</v>
      </c>
      <c r="E10" s="163">
        <f t="shared" ref="E10:J10" si="0">SUM(E8:E9)</f>
        <v>0.86199999999999999</v>
      </c>
      <c r="F10" s="163">
        <f t="shared" si="0"/>
        <v>0</v>
      </c>
      <c r="G10" s="163">
        <f t="shared" si="0"/>
        <v>0</v>
      </c>
      <c r="H10" s="163">
        <f t="shared" si="0"/>
        <v>0</v>
      </c>
      <c r="I10" s="163">
        <f t="shared" si="0"/>
        <v>0</v>
      </c>
      <c r="J10" s="163">
        <f t="shared" si="0"/>
        <v>0</v>
      </c>
      <c r="K10" s="163">
        <f>SUM(K8:K9)</f>
        <v>0</v>
      </c>
    </row>
    <row r="11" spans="1:12"/>
    <row r="12" spans="1:12">
      <c r="B12" s="846" t="s">
        <v>470</v>
      </c>
      <c r="C12" s="846"/>
      <c r="D12" s="846"/>
      <c r="E12" s="846"/>
      <c r="F12" s="846"/>
      <c r="G12" s="846"/>
      <c r="H12" s="846"/>
      <c r="I12" s="846"/>
      <c r="J12" s="846"/>
      <c r="K12" s="846"/>
    </row>
    <row r="13" spans="1:12"/>
    <row r="14" spans="1:12">
      <c r="A14" s="158" t="s">
        <v>0</v>
      </c>
      <c r="B14" s="149" t="s">
        <v>471</v>
      </c>
      <c r="C14" s="158" t="s">
        <v>389</v>
      </c>
      <c r="D14" s="836">
        <f>IF(D16=0,0,IF(D29=0,SUM(D16/D17,D26,D37/D39,-D22,-D42,-D43)*860/SUM(D16,D41),SUM(D16/D17,D26,-D30,-D31)*860/SUM(D16,D29)))</f>
        <v>0</v>
      </c>
      <c r="E14" s="837"/>
      <c r="F14" s="837"/>
      <c r="G14" s="837"/>
      <c r="H14" s="838"/>
      <c r="I14" s="833">
        <f>IF(I16=0,0,SUM(I16/I17,I26,-I19)*860/I16)</f>
        <v>0</v>
      </c>
      <c r="J14" s="834"/>
      <c r="K14" s="835"/>
    </row>
    <row r="15" spans="1:12">
      <c r="A15" s="149">
        <v>2</v>
      </c>
      <c r="B15" s="481" t="s">
        <v>469</v>
      </c>
      <c r="C15" s="112"/>
      <c r="D15" s="422" t="s">
        <v>152</v>
      </c>
      <c r="E15" s="112" t="s">
        <v>275</v>
      </c>
      <c r="F15" s="112"/>
      <c r="G15" s="112"/>
      <c r="H15" s="112"/>
      <c r="I15" s="482" t="s">
        <v>152</v>
      </c>
      <c r="J15" s="112" t="s">
        <v>275</v>
      </c>
      <c r="K15" s="112" t="s">
        <v>276</v>
      </c>
      <c r="L15" s="69"/>
    </row>
    <row r="16" spans="1:12">
      <c r="A16" s="112" t="s">
        <v>278</v>
      </c>
      <c r="B16" s="160" t="s">
        <v>675</v>
      </c>
      <c r="C16" s="112" t="s">
        <v>247</v>
      </c>
      <c r="D16" s="483">
        <f>SUM(E16:H16)</f>
        <v>0</v>
      </c>
      <c r="E16" s="484"/>
      <c r="F16" s="484"/>
      <c r="G16" s="484"/>
      <c r="H16" s="484"/>
      <c r="I16" s="483">
        <f>SUM(J16:K16)</f>
        <v>0</v>
      </c>
      <c r="J16" s="484"/>
      <c r="K16" s="484"/>
      <c r="L16" s="69"/>
    </row>
    <row r="17" spans="1:12">
      <c r="A17" s="112" t="s">
        <v>279</v>
      </c>
      <c r="B17" s="160" t="s">
        <v>277</v>
      </c>
      <c r="C17" s="112" t="s">
        <v>7</v>
      </c>
      <c r="D17" s="162">
        <f>IF(D16=0,0,SUMPRODUCT(E16:H16,E17:H17)/D16)</f>
        <v>0</v>
      </c>
      <c r="E17" s="68"/>
      <c r="F17" s="68"/>
      <c r="G17" s="68"/>
      <c r="H17" s="68"/>
      <c r="I17" s="162">
        <f>IF(I16=0,0,SUMPRODUCT(J16:K16,J17:K17)/I16)</f>
        <v>0</v>
      </c>
      <c r="J17" s="68"/>
      <c r="K17" s="68"/>
      <c r="L17" s="69"/>
    </row>
    <row r="18" spans="1:12">
      <c r="A18" s="149">
        <v>3</v>
      </c>
      <c r="B18" s="160" t="s">
        <v>664</v>
      </c>
      <c r="C18" s="112"/>
      <c r="D18" s="162"/>
      <c r="E18" s="485" t="s">
        <v>662</v>
      </c>
      <c r="F18" s="485"/>
      <c r="G18" s="485"/>
      <c r="H18" s="485"/>
      <c r="I18" s="162"/>
      <c r="J18" s="485" t="s">
        <v>662</v>
      </c>
      <c r="K18" s="485" t="s">
        <v>663</v>
      </c>
      <c r="L18" s="69"/>
    </row>
    <row r="19" spans="1:12">
      <c r="A19" s="112" t="s">
        <v>267</v>
      </c>
      <c r="B19" s="160" t="s">
        <v>452</v>
      </c>
      <c r="C19" s="112" t="s">
        <v>246</v>
      </c>
      <c r="D19" s="483">
        <f>SUM(E19:H19)</f>
        <v>0</v>
      </c>
      <c r="E19" s="486">
        <f>SUM(E20:E22)</f>
        <v>0</v>
      </c>
      <c r="F19" s="486">
        <f>SUM(F20:F22)</f>
        <v>0</v>
      </c>
      <c r="G19" s="486">
        <f>SUM(G20:G22)</f>
        <v>0</v>
      </c>
      <c r="H19" s="486">
        <f>SUM(H20:H22)</f>
        <v>0</v>
      </c>
      <c r="I19" s="483">
        <f>SUM(J19:K19)</f>
        <v>0</v>
      </c>
      <c r="J19" s="486">
        <f>SUM(J20:J22)</f>
        <v>0</v>
      </c>
      <c r="K19" s="486">
        <f>SUM(K20:K22)</f>
        <v>0</v>
      </c>
      <c r="L19" s="69"/>
    </row>
    <row r="20" spans="1:12">
      <c r="A20" s="112" t="s">
        <v>268</v>
      </c>
      <c r="B20" s="160" t="s">
        <v>456</v>
      </c>
      <c r="C20" s="112" t="s">
        <v>246</v>
      </c>
      <c r="D20" s="483">
        <f>SUM(E20:H20)</f>
        <v>0</v>
      </c>
      <c r="E20" s="484"/>
      <c r="F20" s="484"/>
      <c r="G20" s="484"/>
      <c r="H20" s="484"/>
      <c r="I20" s="483">
        <f>SUM(J20:K20)</f>
        <v>0</v>
      </c>
      <c r="J20" s="484"/>
      <c r="K20" s="484"/>
      <c r="L20" s="69"/>
    </row>
    <row r="21" spans="1:12">
      <c r="A21" s="112" t="s">
        <v>562</v>
      </c>
      <c r="B21" s="160" t="s">
        <v>455</v>
      </c>
      <c r="C21" s="112" t="s">
        <v>246</v>
      </c>
      <c r="D21" s="483">
        <f>SUM(E21:H21)</f>
        <v>0</v>
      </c>
      <c r="E21" s="484"/>
      <c r="F21" s="484"/>
      <c r="G21" s="484"/>
      <c r="H21" s="484"/>
      <c r="I21" s="483">
        <f>SUM(J21:K21)</f>
        <v>0</v>
      </c>
      <c r="J21" s="484"/>
      <c r="K21" s="484"/>
      <c r="L21" s="69"/>
    </row>
    <row r="22" spans="1:12">
      <c r="A22" s="112" t="s">
        <v>610</v>
      </c>
      <c r="B22" s="160" t="s">
        <v>457</v>
      </c>
      <c r="C22" s="112" t="s">
        <v>246</v>
      </c>
      <c r="D22" s="483">
        <f>SUM(E22:H22)</f>
        <v>0</v>
      </c>
      <c r="E22" s="484"/>
      <c r="F22" s="484"/>
      <c r="G22" s="484"/>
      <c r="H22" s="484"/>
      <c r="I22" s="483">
        <f>SUM(J22:K22)</f>
        <v>0</v>
      </c>
      <c r="J22" s="484"/>
      <c r="K22" s="484"/>
      <c r="L22" s="69"/>
    </row>
    <row r="23" spans="1:12">
      <c r="A23" s="112" t="s">
        <v>563</v>
      </c>
      <c r="B23" s="160" t="s">
        <v>453</v>
      </c>
      <c r="C23" s="112" t="s">
        <v>7</v>
      </c>
      <c r="D23" s="162">
        <f t="shared" ref="D23:K23" si="1">IF(D17=0,0,IF((D16/D17)=0,0,SUM(D21:D22)/(D16/D17)))</f>
        <v>0</v>
      </c>
      <c r="E23" s="162">
        <f t="shared" si="1"/>
        <v>0</v>
      </c>
      <c r="F23" s="162">
        <f t="shared" si="1"/>
        <v>0</v>
      </c>
      <c r="G23" s="162">
        <f t="shared" si="1"/>
        <v>0</v>
      </c>
      <c r="H23" s="162">
        <f t="shared" si="1"/>
        <v>0</v>
      </c>
      <c r="I23" s="162">
        <f t="shared" si="1"/>
        <v>0</v>
      </c>
      <c r="J23" s="162">
        <f t="shared" si="1"/>
        <v>0</v>
      </c>
      <c r="K23" s="162">
        <f t="shared" si="1"/>
        <v>0</v>
      </c>
      <c r="L23" s="69"/>
    </row>
    <row r="24" spans="1:12">
      <c r="A24" s="112" t="s">
        <v>564</v>
      </c>
      <c r="B24" s="160" t="s">
        <v>322</v>
      </c>
      <c r="C24" s="112" t="s">
        <v>162</v>
      </c>
      <c r="D24" s="483">
        <f>SUM(E24:H24)</f>
        <v>0</v>
      </c>
      <c r="E24" s="487"/>
      <c r="F24" s="487"/>
      <c r="G24" s="487"/>
      <c r="H24" s="487"/>
      <c r="I24" s="483">
        <f>SUM(J24:K24)</f>
        <v>0</v>
      </c>
      <c r="J24" s="487"/>
      <c r="K24" s="487"/>
      <c r="L24" s="69"/>
    </row>
    <row r="25" spans="1:12">
      <c r="A25" s="112" t="s">
        <v>565</v>
      </c>
      <c r="B25" s="160" t="s">
        <v>323</v>
      </c>
      <c r="C25" s="112" t="s">
        <v>162</v>
      </c>
      <c r="D25" s="483">
        <f>SUM(E25:H25)</f>
        <v>0</v>
      </c>
      <c r="E25" s="487"/>
      <c r="F25" s="487"/>
      <c r="G25" s="487"/>
      <c r="H25" s="487"/>
      <c r="I25" s="483">
        <f>SUM(J25:K25)</f>
        <v>0</v>
      </c>
      <c r="J25" s="487"/>
      <c r="K25" s="487"/>
      <c r="L25" s="69"/>
    </row>
    <row r="26" spans="1:12">
      <c r="A26" s="112" t="s">
        <v>665</v>
      </c>
      <c r="B26" s="160" t="s">
        <v>660</v>
      </c>
      <c r="C26" s="479" t="s">
        <v>164</v>
      </c>
      <c r="D26" s="483">
        <f>SUM(E26:H26)</f>
        <v>0</v>
      </c>
      <c r="E26" s="487"/>
      <c r="F26" s="487"/>
      <c r="G26" s="487"/>
      <c r="H26" s="487"/>
      <c r="I26" s="483"/>
      <c r="J26" s="487"/>
      <c r="K26" s="487"/>
      <c r="L26" s="69"/>
    </row>
    <row r="27" spans="1:12">
      <c r="A27" s="112" t="s">
        <v>566</v>
      </c>
      <c r="B27" s="160" t="s">
        <v>672</v>
      </c>
      <c r="C27" s="479" t="s">
        <v>7</v>
      </c>
      <c r="D27" s="488">
        <f t="shared" ref="D27:K27" si="2">IF(D16=0,0,IF((1-D17)=0,0,IF(D17=0,0,D19/(D16*(1-D17)/D17+D26))))</f>
        <v>0</v>
      </c>
      <c r="E27" s="488">
        <f t="shared" si="2"/>
        <v>0</v>
      </c>
      <c r="F27" s="488">
        <f t="shared" si="2"/>
        <v>0</v>
      </c>
      <c r="G27" s="488">
        <f t="shared" si="2"/>
        <v>0</v>
      </c>
      <c r="H27" s="488">
        <f t="shared" si="2"/>
        <v>0</v>
      </c>
      <c r="I27" s="488">
        <f t="shared" si="2"/>
        <v>0</v>
      </c>
      <c r="J27" s="488">
        <f t="shared" si="2"/>
        <v>0</v>
      </c>
      <c r="K27" s="488">
        <f t="shared" si="2"/>
        <v>0</v>
      </c>
      <c r="L27" s="69"/>
    </row>
    <row r="28" spans="1:12">
      <c r="A28" s="112">
        <v>4</v>
      </c>
      <c r="B28" s="160" t="s">
        <v>667</v>
      </c>
      <c r="C28" s="479"/>
      <c r="D28" s="162"/>
      <c r="E28" s="112" t="s">
        <v>718</v>
      </c>
      <c r="F28" s="112"/>
      <c r="G28" s="112"/>
      <c r="H28" s="112"/>
      <c r="I28" s="839"/>
      <c r="J28" s="842"/>
      <c r="K28" s="842"/>
      <c r="L28" s="69"/>
    </row>
    <row r="29" spans="1:12">
      <c r="A29" s="112" t="s">
        <v>257</v>
      </c>
      <c r="B29" s="160" t="s">
        <v>676</v>
      </c>
      <c r="C29" s="479" t="s">
        <v>247</v>
      </c>
      <c r="D29" s="483">
        <f>SUM(E29:H29)</f>
        <v>0</v>
      </c>
      <c r="E29" s="484"/>
      <c r="F29" s="484"/>
      <c r="G29" s="484"/>
      <c r="H29" s="484"/>
      <c r="I29" s="840"/>
      <c r="J29" s="843"/>
      <c r="K29" s="843"/>
      <c r="L29" s="69"/>
    </row>
    <row r="30" spans="1:12">
      <c r="A30" s="112" t="s">
        <v>258</v>
      </c>
      <c r="B30" s="160" t="s">
        <v>462</v>
      </c>
      <c r="C30" s="479" t="s">
        <v>246</v>
      </c>
      <c r="D30" s="483">
        <f>SUM(E30:H30)</f>
        <v>0</v>
      </c>
      <c r="E30" s="487"/>
      <c r="F30" s="487"/>
      <c r="G30" s="487"/>
      <c r="H30" s="487"/>
      <c r="I30" s="840"/>
      <c r="J30" s="843"/>
      <c r="K30" s="843"/>
      <c r="L30" s="69"/>
    </row>
    <row r="31" spans="1:12">
      <c r="A31" s="112" t="s">
        <v>567</v>
      </c>
      <c r="B31" s="160" t="s">
        <v>463</v>
      </c>
      <c r="C31" s="479" t="s">
        <v>246</v>
      </c>
      <c r="D31" s="483">
        <f>SUM(E31:H31)</f>
        <v>0</v>
      </c>
      <c r="E31" s="487"/>
      <c r="F31" s="487"/>
      <c r="G31" s="487"/>
      <c r="H31" s="487"/>
      <c r="I31" s="840"/>
      <c r="J31" s="843"/>
      <c r="K31" s="843"/>
      <c r="L31" s="69"/>
    </row>
    <row r="32" spans="1:12">
      <c r="A32" s="112" t="s">
        <v>568</v>
      </c>
      <c r="B32" s="489" t="s">
        <v>465</v>
      </c>
      <c r="C32" s="112" t="s">
        <v>162</v>
      </c>
      <c r="D32" s="483">
        <f>SUM(E32:H32)</f>
        <v>0</v>
      </c>
      <c r="E32" s="487"/>
      <c r="F32" s="487"/>
      <c r="G32" s="487"/>
      <c r="H32" s="487"/>
      <c r="I32" s="840"/>
      <c r="J32" s="843"/>
      <c r="K32" s="843"/>
      <c r="L32" s="69"/>
    </row>
    <row r="33" spans="1:12">
      <c r="A33" s="112" t="s">
        <v>569</v>
      </c>
      <c r="B33" s="489" t="s">
        <v>464</v>
      </c>
      <c r="C33" s="112" t="s">
        <v>162</v>
      </c>
      <c r="D33" s="483">
        <f>SUM(E33:H33)</f>
        <v>0</v>
      </c>
      <c r="E33" s="487"/>
      <c r="F33" s="487"/>
      <c r="G33" s="487"/>
      <c r="H33" s="487"/>
      <c r="I33" s="841"/>
      <c r="J33" s="844"/>
      <c r="K33" s="844"/>
      <c r="L33" s="69"/>
    </row>
    <row r="34" spans="1:12" ht="14.25">
      <c r="A34" s="112" t="s">
        <v>570</v>
      </c>
      <c r="B34" s="480" t="s">
        <v>677</v>
      </c>
      <c r="C34" s="112" t="s">
        <v>606</v>
      </c>
      <c r="D34" s="117">
        <f>IF(D29=0,0,IF(D17=0,0,IF(SUM(D16,D29)=0,0,SUM(D16/D17,D26,-D22,-D30,-D31)/SUM(D16,D29)*1000)))</f>
        <v>0</v>
      </c>
      <c r="E34" s="117">
        <f>IF(E29=0,0,IF(E17=0,0,IF(SUM(E16,E29)=0,0,SUM(E16/E17,E26,-E22,-E30,-E31)/SUM(E16,E29)*1000)))</f>
        <v>0</v>
      </c>
      <c r="F34" s="117">
        <f>IF(F29=0,0,IF(F17=0,0,IF(SUM(F16,F29)=0,0,SUM(F16/F17,F26,-F22,-F30,-F31)/SUM(F16,F29)*1000)))</f>
        <v>0</v>
      </c>
      <c r="G34" s="117">
        <f>IF(G29=0,0,IF(G17=0,0,IF(SUM(G16,G29)=0,0,SUM(G16/G17,G26,-G22,-G30,-G31)/SUM(G16,G29)*1000)))</f>
        <v>0</v>
      </c>
      <c r="H34" s="117">
        <f>IF(H29=0,0,IF(H17=0,0,IF(SUM(H16,H29)=0,0,SUM(H16/H17,H26,-H22,-H30,-H31)/SUM(H16,H29)*1000)))</f>
        <v>0</v>
      </c>
      <c r="I34" s="117">
        <f>IF(I17=0,0,IF(I16=0,0,SUM(I16/I17,I26,-I20,-I21,-I22)*860/I16))</f>
        <v>0</v>
      </c>
      <c r="J34" s="117">
        <f>IF(J17=0,0,IF(J16=0,0,SUM(J16/J17,J26,-J20,-J21,-J22)*860/J16))</f>
        <v>0</v>
      </c>
      <c r="K34" s="117">
        <f>IF(K17=0,0,IF(K16=0,0,SUM(K16/K17,K26,-K20,-K21,-K22)*860/K16))</f>
        <v>0</v>
      </c>
      <c r="L34" s="69"/>
    </row>
    <row r="35" spans="1:12">
      <c r="A35" s="149">
        <v>5</v>
      </c>
      <c r="B35" s="160" t="s">
        <v>397</v>
      </c>
      <c r="C35" s="112" t="s">
        <v>7</v>
      </c>
      <c r="D35" s="163">
        <f>IF(D17=0,0,IF(D29=0,0,IF(SUM(D16/D17,D26)=0,0,SUM(D16,D29,D22,D30:D31)/SUM(D16/D17,D26))))</f>
        <v>0</v>
      </c>
      <c r="E35" s="163">
        <f>IF(E17=0,0,IF(E29=0,0,IF(SUM(E16/E17,E26)=0,0,SUM(E16,E29,E22,E30:E31)/SUM(E16/E17,E26))))</f>
        <v>0</v>
      </c>
      <c r="F35" s="163">
        <f>IF(F17=0,0,IF(F29=0,0,IF(SUM(F16/F17,F26)=0,0,SUM(F16,F29,F22,F30:F31)/SUM(F16/F17,F26))))</f>
        <v>0</v>
      </c>
      <c r="G35" s="163">
        <f>IF(G17=0,0,IF(G29=0,0,IF(SUM(G16/G17,G26)=0,0,SUM(G16,G29,G22,G30:G31)/SUM(G16/G17,G26))))</f>
        <v>0</v>
      </c>
      <c r="H35" s="163">
        <f>IF(H17=0,0,IF(H29=0,0,IF(SUM(H16/H17,H26)=0,0,SUM(H16,H29,H22,H30:H31)/SUM(H16/H17,H26))))</f>
        <v>0</v>
      </c>
      <c r="I35" s="164">
        <f>SUM(I17,I23)</f>
        <v>0</v>
      </c>
      <c r="J35" s="163">
        <f>SUM(J17,J23)</f>
        <v>0</v>
      </c>
      <c r="K35" s="163">
        <f>SUM(K17,K23)</f>
        <v>0</v>
      </c>
      <c r="L35" s="69"/>
    </row>
    <row r="36" spans="1:12">
      <c r="A36" s="112">
        <v>6</v>
      </c>
      <c r="B36" s="160" t="s">
        <v>666</v>
      </c>
      <c r="C36" s="479"/>
      <c r="D36" s="483"/>
      <c r="E36" s="490" t="s">
        <v>466</v>
      </c>
      <c r="F36" s="490" t="s">
        <v>467</v>
      </c>
      <c r="G36" s="490" t="s">
        <v>468</v>
      </c>
      <c r="H36" s="490" t="s">
        <v>661</v>
      </c>
      <c r="L36" s="69"/>
    </row>
    <row r="37" spans="1:12">
      <c r="A37" s="112" t="s">
        <v>510</v>
      </c>
      <c r="B37" s="160" t="s">
        <v>458</v>
      </c>
      <c r="C37" s="479" t="s">
        <v>246</v>
      </c>
      <c r="D37" s="483">
        <f>SUM(E37:H37)</f>
        <v>0</v>
      </c>
      <c r="E37" s="487"/>
      <c r="F37" s="487"/>
      <c r="G37" s="487"/>
      <c r="H37" s="487"/>
      <c r="L37" s="69"/>
    </row>
    <row r="38" spans="1:12">
      <c r="A38" s="112" t="s">
        <v>511</v>
      </c>
      <c r="B38" s="160" t="s">
        <v>459</v>
      </c>
      <c r="C38" s="479" t="s">
        <v>162</v>
      </c>
      <c r="D38" s="483">
        <f>SUM(E38:H38)</f>
        <v>0</v>
      </c>
      <c r="E38" s="487"/>
      <c r="F38" s="487"/>
      <c r="G38" s="487"/>
      <c r="H38" s="487"/>
      <c r="L38" s="69"/>
    </row>
    <row r="39" spans="1:12">
      <c r="A39" s="112" t="s">
        <v>669</v>
      </c>
      <c r="B39" s="491" t="s">
        <v>461</v>
      </c>
      <c r="C39" s="479" t="s">
        <v>7</v>
      </c>
      <c r="D39" s="162">
        <f>IF(D37=0,0,SUMPRODUCT(E37:H37,E39:H39)/D37)</f>
        <v>0</v>
      </c>
      <c r="E39" s="68"/>
      <c r="F39" s="68"/>
      <c r="G39" s="68"/>
      <c r="H39" s="68"/>
      <c r="L39" s="69"/>
    </row>
    <row r="40" spans="1:12">
      <c r="A40" s="112">
        <v>7</v>
      </c>
      <c r="B40" s="160" t="s">
        <v>668</v>
      </c>
      <c r="C40" s="479"/>
      <c r="D40" s="162"/>
      <c r="E40" s="112" t="s">
        <v>600</v>
      </c>
      <c r="F40" s="112" t="s">
        <v>601</v>
      </c>
      <c r="G40" s="112" t="s">
        <v>602</v>
      </c>
      <c r="H40" s="112" t="s">
        <v>603</v>
      </c>
      <c r="L40" s="69"/>
    </row>
    <row r="41" spans="1:12">
      <c r="A41" s="112" t="s">
        <v>516</v>
      </c>
      <c r="B41" s="491" t="s">
        <v>460</v>
      </c>
      <c r="C41" s="479" t="s">
        <v>247</v>
      </c>
      <c r="D41" s="483">
        <f>SUM(E41:H41)</f>
        <v>0</v>
      </c>
      <c r="E41" s="484"/>
      <c r="F41" s="484"/>
      <c r="G41" s="484"/>
      <c r="H41" s="484"/>
      <c r="L41" s="69"/>
    </row>
    <row r="42" spans="1:12">
      <c r="A42" s="112" t="s">
        <v>517</v>
      </c>
      <c r="B42" s="160" t="s">
        <v>462</v>
      </c>
      <c r="C42" s="479" t="s">
        <v>246</v>
      </c>
      <c r="D42" s="483">
        <f>SUM(E42:H42)</f>
        <v>0</v>
      </c>
      <c r="E42" s="487"/>
      <c r="F42" s="487"/>
      <c r="G42" s="487"/>
      <c r="H42" s="487"/>
      <c r="L42" s="69"/>
    </row>
    <row r="43" spans="1:12">
      <c r="A43" s="112" t="s">
        <v>518</v>
      </c>
      <c r="B43" s="160" t="s">
        <v>463</v>
      </c>
      <c r="C43" s="479" t="s">
        <v>246</v>
      </c>
      <c r="D43" s="483">
        <f>SUM(E43:H43)</f>
        <v>0</v>
      </c>
      <c r="E43" s="487"/>
      <c r="F43" s="487"/>
      <c r="G43" s="487"/>
      <c r="H43" s="487"/>
      <c r="L43" s="69"/>
    </row>
    <row r="44" spans="1:12">
      <c r="A44" s="112" t="s">
        <v>670</v>
      </c>
      <c r="B44" s="489" t="s">
        <v>465</v>
      </c>
      <c r="C44" s="112" t="s">
        <v>162</v>
      </c>
      <c r="D44" s="483">
        <f>SUM(E44:H44)</f>
        <v>0</v>
      </c>
      <c r="E44" s="487"/>
      <c r="F44" s="487"/>
      <c r="G44" s="487"/>
      <c r="H44" s="487"/>
      <c r="L44" s="69"/>
    </row>
    <row r="45" spans="1:12">
      <c r="A45" s="112" t="s">
        <v>671</v>
      </c>
      <c r="B45" s="489" t="s">
        <v>464</v>
      </c>
      <c r="C45" s="112" t="s">
        <v>162</v>
      </c>
      <c r="D45" s="483">
        <f>SUM(E45:H45)</f>
        <v>0</v>
      </c>
      <c r="E45" s="487"/>
      <c r="F45" s="487"/>
      <c r="G45" s="487"/>
      <c r="H45" s="487"/>
      <c r="L45" s="69"/>
    </row>
    <row r="46" spans="1:12" ht="14.25">
      <c r="A46" s="112" t="s">
        <v>678</v>
      </c>
      <c r="B46" s="480" t="s">
        <v>677</v>
      </c>
      <c r="C46" s="112" t="s">
        <v>606</v>
      </c>
      <c r="D46" s="117">
        <f>IF(D41=0,0,IF($D$17=0,0,IF(D39=0,0,SUM($D$16/$D$17,D26,-$D$22,D37/D39,-D42,-D43)*860/SUM($D$16,D41))))</f>
        <v>0</v>
      </c>
      <c r="E46" s="117">
        <f>IF(E41=0,0,IF($E$17=0,0,IF(COUNT($E$37:$H$37)=0,0,IF(E39=0,0,SUM(($E$16/$E$17-$E$22)/COUNT($E$37:$H$37),E37/E39,-E42,-E43)*860/SUM($E$16,E41)))))</f>
        <v>0</v>
      </c>
      <c r="F46" s="117">
        <f>IF(F41=0,0,IF($E$17=0,0,IF(COUNT($E$37:$H$37)=0,0,IF(F39=0,0,SUM(($E$16/$E$17-$E$22)/COUNT($E$37:$H$37),F37/F39,-F42,-F43)*860/SUM($E$16,F41)))))</f>
        <v>0</v>
      </c>
      <c r="G46" s="117">
        <f>IF(G41=0,0,IF($E$17=0,0,IF(COUNT($E$37:$H$37)=0,0,IF(G39=0,0,SUM(($E$16/$E$17-$E$22)/COUNT($E$37:$H$37),G37/G39,-G42,-G43)*860/SUM($E$16,G41)))))</f>
        <v>0</v>
      </c>
      <c r="H46" s="117">
        <f>IF(H41=0,0,IF($E$17=0,0,IF(COUNT($E$37:$H$37)=0,0,IF(H39=0,0,SUM(($E$16/$E$17-$E$22)/COUNT($E$37:$H$37),H37/H39,-H42,-H43)*860/SUM($E$16,H41)))))</f>
        <v>0</v>
      </c>
      <c r="L46" s="69"/>
    </row>
    <row r="47" spans="1:12">
      <c r="A47" s="112">
        <v>8</v>
      </c>
      <c r="B47" s="160" t="s">
        <v>397</v>
      </c>
      <c r="C47" s="112" t="s">
        <v>7</v>
      </c>
      <c r="D47" s="163">
        <f>IF(D37=0,0,IF(D39=0,0,SUM(D41:D43)/(D37/D39)))</f>
        <v>0</v>
      </c>
      <c r="E47" s="163">
        <f>IF(E37=0,0,IF(E39=0,0,SUM(E41:E43)/(E37/E39)))</f>
        <v>0</v>
      </c>
      <c r="F47" s="163">
        <f>IF(F37=0,0,IF(F39=0,0,SUM(F41:F43)/(F37/F39)))</f>
        <v>0</v>
      </c>
      <c r="G47" s="163">
        <f>IF(G37=0,0,IF(G39=0,0,SUM(G41:G43)/(G37/G39)))</f>
        <v>0</v>
      </c>
      <c r="H47" s="163">
        <f>IF(H37=0,0,IF(H39=0,0,SUM(H41:H43)/(H37/H39)))</f>
        <v>0</v>
      </c>
      <c r="L47" s="69"/>
    </row>
    <row r="48" spans="1:12"/>
    <row r="49" spans="1:12">
      <c r="B49" s="781" t="s">
        <v>607</v>
      </c>
      <c r="C49" s="781"/>
      <c r="D49" s="781"/>
      <c r="E49" s="781"/>
      <c r="F49" s="781"/>
      <c r="G49" s="781"/>
      <c r="H49" s="781"/>
      <c r="I49" s="781"/>
      <c r="J49" s="781"/>
      <c r="K49" s="781"/>
    </row>
    <row r="50" spans="1:12"/>
    <row r="51" spans="1:12">
      <c r="A51" s="158" t="s">
        <v>0</v>
      </c>
      <c r="B51" s="149" t="s">
        <v>471</v>
      </c>
      <c r="C51" s="492"/>
      <c r="D51" s="832" t="s">
        <v>673</v>
      </c>
      <c r="E51" s="832"/>
      <c r="F51" s="832"/>
      <c r="G51" s="832"/>
      <c r="H51" s="832"/>
      <c r="I51" s="832"/>
      <c r="J51" s="832"/>
      <c r="K51" s="832"/>
    </row>
    <row r="52" spans="1:12">
      <c r="A52" s="112">
        <v>3</v>
      </c>
      <c r="B52" s="493" t="s">
        <v>588</v>
      </c>
      <c r="C52" s="112" t="s">
        <v>161</v>
      </c>
      <c r="D52" s="422" t="s">
        <v>152</v>
      </c>
      <c r="E52" s="112" t="s">
        <v>589</v>
      </c>
      <c r="F52" s="112" t="s">
        <v>590</v>
      </c>
      <c r="G52" s="112" t="s">
        <v>591</v>
      </c>
      <c r="H52" s="112" t="s">
        <v>592</v>
      </c>
      <c r="I52" s="112" t="s">
        <v>593</v>
      </c>
      <c r="J52" s="112" t="s">
        <v>594</v>
      </c>
      <c r="K52" s="112" t="s">
        <v>608</v>
      </c>
    </row>
    <row r="53" spans="1:12">
      <c r="A53" s="112" t="s">
        <v>267</v>
      </c>
      <c r="B53" s="480" t="s">
        <v>595</v>
      </c>
      <c r="C53" s="112"/>
      <c r="D53" s="124"/>
      <c r="E53" s="494"/>
      <c r="F53" s="494"/>
      <c r="G53" s="494"/>
      <c r="H53" s="494"/>
      <c r="I53" s="494"/>
      <c r="J53" s="494"/>
      <c r="K53" s="494"/>
    </row>
    <row r="54" spans="1:12">
      <c r="A54" s="112" t="s">
        <v>268</v>
      </c>
      <c r="B54" s="480" t="s">
        <v>596</v>
      </c>
      <c r="C54" s="112" t="s">
        <v>162</v>
      </c>
      <c r="D54" s="358">
        <f>SUM(E54:K54)</f>
        <v>0</v>
      </c>
      <c r="E54" s="9"/>
      <c r="F54" s="9"/>
      <c r="G54" s="9"/>
      <c r="H54" s="9"/>
      <c r="I54" s="9"/>
      <c r="J54" s="9"/>
      <c r="K54" s="9"/>
    </row>
    <row r="55" spans="1:12">
      <c r="A55" s="112" t="s">
        <v>562</v>
      </c>
      <c r="B55" s="480" t="s">
        <v>597</v>
      </c>
      <c r="C55" s="112" t="s">
        <v>46</v>
      </c>
      <c r="D55" s="124"/>
      <c r="E55" s="9"/>
      <c r="F55" s="9"/>
      <c r="G55" s="9"/>
      <c r="H55" s="9"/>
      <c r="I55" s="9"/>
      <c r="J55" s="9"/>
      <c r="K55" s="9"/>
    </row>
    <row r="56" spans="1:12">
      <c r="A56" s="112" t="s">
        <v>610</v>
      </c>
      <c r="B56" s="480" t="s">
        <v>598</v>
      </c>
      <c r="C56" s="112" t="s">
        <v>46</v>
      </c>
      <c r="D56" s="124"/>
      <c r="E56" s="9"/>
      <c r="F56" s="9"/>
      <c r="G56" s="9"/>
      <c r="H56" s="9"/>
      <c r="I56" s="9"/>
      <c r="J56" s="9"/>
      <c r="K56" s="9"/>
    </row>
    <row r="57" spans="1:12">
      <c r="A57" s="112" t="s">
        <v>563</v>
      </c>
      <c r="B57" s="480" t="s">
        <v>163</v>
      </c>
      <c r="C57" s="112" t="s">
        <v>164</v>
      </c>
      <c r="D57" s="358">
        <f>SUM(E57:K57)</f>
        <v>0</v>
      </c>
      <c r="E57" s="422">
        <f t="shared" ref="E57:J57" si="3">ROUND(E54*(E55-E56)/3600,3)</f>
        <v>0</v>
      </c>
      <c r="F57" s="422">
        <f t="shared" si="3"/>
        <v>0</v>
      </c>
      <c r="G57" s="422">
        <f t="shared" si="3"/>
        <v>0</v>
      </c>
      <c r="H57" s="422">
        <f t="shared" si="3"/>
        <v>0</v>
      </c>
      <c r="I57" s="422">
        <f t="shared" si="3"/>
        <v>0</v>
      </c>
      <c r="J57" s="422">
        <f t="shared" si="3"/>
        <v>0</v>
      </c>
      <c r="K57" s="422">
        <f>ROUND(K54*(K55-K56)/3600,3)</f>
        <v>0</v>
      </c>
    </row>
    <row r="58" spans="1:12">
      <c r="A58" s="112" t="s">
        <v>564</v>
      </c>
      <c r="B58" s="481" t="s">
        <v>320</v>
      </c>
      <c r="C58" s="112" t="s">
        <v>246</v>
      </c>
      <c r="D58" s="358">
        <f>SUM(E58:K58)</f>
        <v>0</v>
      </c>
      <c r="E58" s="67"/>
      <c r="F58" s="67"/>
      <c r="G58" s="67"/>
      <c r="H58" s="67"/>
      <c r="I58" s="67"/>
      <c r="J58" s="67"/>
      <c r="K58" s="67"/>
    </row>
    <row r="59" spans="1:12">
      <c r="A59" s="112" t="s">
        <v>565</v>
      </c>
      <c r="B59" s="160" t="s">
        <v>387</v>
      </c>
      <c r="C59" s="112" t="s">
        <v>7</v>
      </c>
      <c r="D59" s="162">
        <f>IF(D58=0,0,SUMPRODUCT(E59:K59,E58:K58)/D58)</f>
        <v>0</v>
      </c>
      <c r="E59" s="68"/>
      <c r="F59" s="68"/>
      <c r="G59" s="68"/>
      <c r="H59" s="68"/>
      <c r="I59" s="68"/>
      <c r="J59" s="68"/>
      <c r="K59" s="68"/>
    </row>
    <row r="60" spans="1:12">
      <c r="A60" s="112">
        <v>4</v>
      </c>
      <c r="B60" s="493" t="s">
        <v>599</v>
      </c>
      <c r="C60" s="112"/>
      <c r="D60" s="124"/>
      <c r="E60" s="112" t="s">
        <v>600</v>
      </c>
      <c r="F60" s="112" t="s">
        <v>601</v>
      </c>
      <c r="G60" s="112" t="s">
        <v>602</v>
      </c>
      <c r="H60" s="112" t="s">
        <v>603</v>
      </c>
      <c r="I60" s="112" t="s">
        <v>604</v>
      </c>
      <c r="J60" s="112" t="s">
        <v>605</v>
      </c>
      <c r="K60" s="112" t="s">
        <v>609</v>
      </c>
    </row>
    <row r="61" spans="1:12">
      <c r="A61" s="112" t="s">
        <v>257</v>
      </c>
      <c r="B61" s="480" t="s">
        <v>595</v>
      </c>
      <c r="C61" s="116"/>
      <c r="D61" s="124"/>
      <c r="E61" s="495"/>
      <c r="F61" s="496"/>
      <c r="G61" s="496"/>
      <c r="H61" s="496"/>
      <c r="I61" s="496"/>
      <c r="J61" s="496"/>
      <c r="K61" s="496"/>
    </row>
    <row r="62" spans="1:12">
      <c r="A62" s="112" t="s">
        <v>258</v>
      </c>
      <c r="B62" s="491" t="s">
        <v>460</v>
      </c>
      <c r="C62" s="479" t="s">
        <v>247</v>
      </c>
      <c r="D62" s="483">
        <f>SUM(E62:G62)</f>
        <v>0</v>
      </c>
      <c r="E62" s="484"/>
      <c r="F62" s="484"/>
      <c r="G62" s="484"/>
      <c r="H62" s="484"/>
      <c r="I62" s="484"/>
      <c r="J62" s="484"/>
      <c r="K62" s="484"/>
      <c r="L62" s="69"/>
    </row>
    <row r="63" spans="1:12">
      <c r="A63" s="112" t="s">
        <v>567</v>
      </c>
      <c r="B63" s="160" t="s">
        <v>462</v>
      </c>
      <c r="C63" s="479" t="s">
        <v>246</v>
      </c>
      <c r="D63" s="483">
        <f>SUM(E63:G63)</f>
        <v>0</v>
      </c>
      <c r="E63" s="487"/>
      <c r="F63" s="487"/>
      <c r="G63" s="487"/>
      <c r="H63" s="487"/>
      <c r="I63" s="487"/>
      <c r="J63" s="487"/>
      <c r="K63" s="487"/>
      <c r="L63" s="69"/>
    </row>
    <row r="64" spans="1:12">
      <c r="A64" s="112" t="s">
        <v>568</v>
      </c>
      <c r="B64" s="160" t="s">
        <v>463</v>
      </c>
      <c r="C64" s="479" t="s">
        <v>246</v>
      </c>
      <c r="D64" s="483">
        <f>SUM(E64:G64)</f>
        <v>0</v>
      </c>
      <c r="E64" s="487"/>
      <c r="F64" s="487"/>
      <c r="G64" s="487"/>
      <c r="H64" s="487"/>
      <c r="I64" s="487"/>
      <c r="J64" s="487"/>
      <c r="K64" s="487"/>
      <c r="L64" s="69"/>
    </row>
    <row r="65" spans="1:12">
      <c r="A65" s="112" t="s">
        <v>569</v>
      </c>
      <c r="B65" s="489" t="s">
        <v>465</v>
      </c>
      <c r="C65" s="112" t="s">
        <v>162</v>
      </c>
      <c r="D65" s="483">
        <f>SUM(E65:G65)</f>
        <v>0</v>
      </c>
      <c r="E65" s="487"/>
      <c r="F65" s="487"/>
      <c r="G65" s="487"/>
      <c r="H65" s="487"/>
      <c r="I65" s="487"/>
      <c r="J65" s="487"/>
      <c r="K65" s="487"/>
      <c r="L65" s="69"/>
    </row>
    <row r="66" spans="1:12">
      <c r="A66" s="112" t="s">
        <v>570</v>
      </c>
      <c r="B66" s="489" t="s">
        <v>464</v>
      </c>
      <c r="C66" s="112" t="s">
        <v>162</v>
      </c>
      <c r="D66" s="483">
        <f>SUM(E66:G66)</f>
        <v>0</v>
      </c>
      <c r="E66" s="487"/>
      <c r="F66" s="487"/>
      <c r="G66" s="487"/>
      <c r="H66" s="487"/>
      <c r="I66" s="487"/>
      <c r="J66" s="487"/>
      <c r="K66" s="487"/>
      <c r="L66" s="69"/>
    </row>
    <row r="67" spans="1:12" ht="14.25">
      <c r="A67" s="112" t="s">
        <v>571</v>
      </c>
      <c r="B67" s="480" t="s">
        <v>677</v>
      </c>
      <c r="C67" s="112" t="s">
        <v>606</v>
      </c>
      <c r="D67" s="124">
        <f>IF(D62=0,0,SUMPRODUCT(E67:K67,E62:K62)/D62)</f>
        <v>0</v>
      </c>
      <c r="E67" s="9"/>
      <c r="F67" s="9"/>
      <c r="G67" s="9"/>
      <c r="H67" s="9"/>
      <c r="I67" s="9"/>
      <c r="J67" s="9"/>
      <c r="K67" s="9"/>
    </row>
    <row r="68" spans="1:12">
      <c r="A68" s="112">
        <v>5</v>
      </c>
      <c r="B68" s="160" t="s">
        <v>397</v>
      </c>
      <c r="C68" s="112" t="s">
        <v>7</v>
      </c>
      <c r="D68" s="163">
        <f>IF(D59=0,0,IF(D58=0,0,SUM(D62:D64)/(D58/D59)))</f>
        <v>0</v>
      </c>
      <c r="E68" s="163">
        <f t="shared" ref="E68:K68" si="4">IF(E59=0,0,IF(E58=0,0,SUM(E62:E64)/(E58/E59)))</f>
        <v>0</v>
      </c>
      <c r="F68" s="163">
        <f t="shared" si="4"/>
        <v>0</v>
      </c>
      <c r="G68" s="163">
        <f t="shared" si="4"/>
        <v>0</v>
      </c>
      <c r="H68" s="163">
        <f t="shared" si="4"/>
        <v>0</v>
      </c>
      <c r="I68" s="163">
        <f t="shared" si="4"/>
        <v>0</v>
      </c>
      <c r="J68" s="163">
        <f t="shared" si="4"/>
        <v>0</v>
      </c>
      <c r="K68" s="163">
        <f t="shared" si="4"/>
        <v>0</v>
      </c>
      <c r="L68" s="69"/>
    </row>
    <row r="69" spans="1:12"/>
    <row r="70" spans="1:12">
      <c r="B70" s="497"/>
      <c r="K70" s="498"/>
    </row>
    <row r="71" spans="1:12">
      <c r="B71" s="497"/>
      <c r="F71" s="499"/>
      <c r="G71" s="500"/>
      <c r="H71" s="501"/>
      <c r="I71" s="502"/>
      <c r="J71" s="503"/>
      <c r="K71" s="502"/>
    </row>
    <row r="72" spans="1:12" customFormat="1">
      <c r="B72" s="497"/>
      <c r="K72" s="509"/>
    </row>
    <row r="73" spans="1:12">
      <c r="B73" s="497"/>
      <c r="F73" s="499"/>
      <c r="G73" s="372"/>
      <c r="J73" s="503"/>
      <c r="K73" s="498"/>
    </row>
    <row r="74" spans="1:12">
      <c r="B74" s="504"/>
      <c r="K74" s="507"/>
    </row>
    <row r="75" spans="1:12">
      <c r="B75" s="504"/>
      <c r="K75" s="507"/>
    </row>
    <row r="76" spans="1:12">
      <c r="B76" s="504"/>
      <c r="K76" s="507"/>
    </row>
    <row r="77" spans="1:12"/>
    <row r="78" spans="1:12">
      <c r="B78" s="138" t="str">
        <f>'[2]Разходи-Произв.'!$A$79</f>
        <v>Гл. счетоводител:</v>
      </c>
      <c r="G78" s="505" t="str">
        <f>'[2]Разходи-Произв.'!$E$79</f>
        <v>Изп. директор:</v>
      </c>
      <c r="I78" s="207"/>
      <c r="J78" s="207"/>
    </row>
    <row r="79" spans="1:12">
      <c r="C79" s="506" t="str">
        <f>Разходи!$B$93</f>
        <v>Гл.счетоводител/ М.Тодорова /</v>
      </c>
      <c r="G79" s="207"/>
      <c r="H79" s="207" t="str">
        <f>Разходи!$F$93</f>
        <v>Изп.директор /Т.Йорданов/</v>
      </c>
      <c r="I79" s="207"/>
      <c r="J79" s="207"/>
    </row>
    <row r="80" spans="1:12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</sheetData>
  <mergeCells count="11">
    <mergeCell ref="D4:K4"/>
    <mergeCell ref="B12:K12"/>
    <mergeCell ref="B1:I1"/>
    <mergeCell ref="B2:I2"/>
    <mergeCell ref="B49:K49"/>
    <mergeCell ref="D51:K51"/>
    <mergeCell ref="I14:K14"/>
    <mergeCell ref="D14:H14"/>
    <mergeCell ref="I28:I33"/>
    <mergeCell ref="J28:J33"/>
    <mergeCell ref="K28:K33"/>
  </mergeCells>
  <phoneticPr fontId="29" type="noConversion"/>
  <printOptions horizontalCentered="1"/>
  <pageMargins left="0.9055118110236221" right="0.11811023622047245" top="0.55118110236220474" bottom="0.15748031496062992" header="0.11811023622047245" footer="0.11811023622047245"/>
  <pageSetup paperSize="9" scale="80" orientation="portrait" blackAndWhite="1" horizontalDpi="300" verticalDpi="300" r:id="rId1"/>
  <ignoredErrors>
    <ignoredError sqref="D10 F19:G19 D54 D57:D58" unlockedFormula="1"/>
    <ignoredError sqref="E10:K10 D8:D9 E19" formulaRange="1" unlockedFormula="1"/>
    <ignoredError sqref="I19:I22 I17 I23 K23 D23" formula="1"/>
    <ignoredError sqref="J19 E68 E47 F47:G47" formulaRange="1"/>
    <ignoredError sqref="J23 E2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M214"/>
  <sheetViews>
    <sheetView showZeros="0" topLeftCell="A16" workbookViewId="0">
      <selection activeCell="B8" sqref="B8"/>
    </sheetView>
  </sheetViews>
  <sheetFormatPr defaultColWidth="0" defaultRowHeight="12.75" customHeight="1" zeroHeight="1"/>
  <cols>
    <col min="1" max="1" width="3.7109375" style="108" customWidth="1"/>
    <col min="2" max="2" width="28.7109375" style="108" customWidth="1"/>
    <col min="3" max="3" width="7.85546875" style="108" customWidth="1"/>
    <col min="4" max="10" width="9.7109375" style="108" customWidth="1"/>
    <col min="11" max="12" width="8.7109375" style="108" customWidth="1"/>
    <col min="13" max="13" width="8.85546875" style="108" customWidth="1"/>
    <col min="14" max="16384" width="8.85546875" style="108" hidden="1"/>
  </cols>
  <sheetData>
    <row r="1" spans="1:12" ht="12.75" customHeight="1">
      <c r="A1" s="107">
        <v>2</v>
      </c>
      <c r="B1" s="850" t="s">
        <v>707</v>
      </c>
      <c r="C1" s="850"/>
      <c r="D1" s="850"/>
      <c r="E1" s="850"/>
      <c r="F1" s="850"/>
      <c r="G1" s="850"/>
      <c r="H1" s="850"/>
      <c r="I1" s="850"/>
      <c r="J1" s="850"/>
      <c r="K1" s="109"/>
      <c r="L1" s="138" t="s">
        <v>708</v>
      </c>
    </row>
    <row r="2" spans="1:12" ht="12.75" customHeight="1">
      <c r="B2" s="850" t="str">
        <f>'ТИП-ПРОИЗ'!B3</f>
        <v>"ИНЕРТСТРОЙ-КАЛЕТО"АД</v>
      </c>
      <c r="C2" s="850"/>
      <c r="D2" s="850"/>
      <c r="E2" s="850"/>
      <c r="F2" s="850"/>
      <c r="G2" s="850"/>
      <c r="H2" s="850"/>
      <c r="I2" s="850"/>
      <c r="J2" s="850"/>
      <c r="K2" s="109"/>
      <c r="L2" s="109"/>
    </row>
    <row r="3" spans="1:12" ht="12.75" customHeight="1"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</row>
    <row r="4" spans="1:12" ht="12.75" customHeight="1">
      <c r="B4" s="782" t="s">
        <v>576</v>
      </c>
      <c r="C4" s="782"/>
      <c r="D4" s="782"/>
      <c r="E4" s="782"/>
      <c r="F4" s="782"/>
      <c r="G4" s="782"/>
      <c r="H4" s="782"/>
      <c r="I4" s="782"/>
      <c r="J4" s="782"/>
      <c r="K4" s="109"/>
      <c r="L4" s="109"/>
    </row>
    <row r="5" spans="1:12"/>
    <row r="6" spans="1:12">
      <c r="A6" s="851">
        <f>'ТИП-ПРОИЗ'!$B$5</f>
        <v>7.2016</v>
      </c>
      <c r="B6" s="851"/>
      <c r="C6" s="851"/>
      <c r="D6" s="849" t="s">
        <v>391</v>
      </c>
      <c r="E6" s="849"/>
      <c r="F6" s="849"/>
      <c r="G6" s="849"/>
      <c r="H6" s="849"/>
      <c r="I6" s="849"/>
      <c r="J6" s="849"/>
      <c r="K6" s="849"/>
      <c r="L6" s="849"/>
    </row>
    <row r="7" spans="1:12">
      <c r="A7" s="147">
        <v>1</v>
      </c>
      <c r="B7" s="148" t="s">
        <v>261</v>
      </c>
      <c r="C7" s="149" t="s">
        <v>389</v>
      </c>
      <c r="D7" s="107" t="s">
        <v>152</v>
      </c>
      <c r="E7" s="147" t="s">
        <v>165</v>
      </c>
      <c r="F7" s="147" t="s">
        <v>166</v>
      </c>
      <c r="G7" s="147" t="s">
        <v>167</v>
      </c>
      <c r="H7" s="147" t="s">
        <v>214</v>
      </c>
      <c r="I7" s="147" t="s">
        <v>215</v>
      </c>
      <c r="J7" s="147" t="s">
        <v>216</v>
      </c>
      <c r="K7" s="147" t="s">
        <v>390</v>
      </c>
      <c r="L7" s="147" t="s">
        <v>586</v>
      </c>
    </row>
    <row r="8" spans="1:12">
      <c r="A8" s="150" t="s">
        <v>262</v>
      </c>
      <c r="B8" s="151">
        <f>'ТИП-ПРОИЗ'!E6</f>
        <v>2015</v>
      </c>
      <c r="C8" s="150" t="s">
        <v>388</v>
      </c>
      <c r="D8" s="152">
        <f>SUM(E8:K8)</f>
        <v>0</v>
      </c>
      <c r="E8" s="56"/>
      <c r="F8" s="56"/>
      <c r="G8" s="56"/>
      <c r="H8" s="56"/>
      <c r="I8" s="56"/>
      <c r="J8" s="56"/>
      <c r="K8" s="56"/>
      <c r="L8" s="56"/>
    </row>
    <row r="9" spans="1:12">
      <c r="A9" s="150" t="s">
        <v>263</v>
      </c>
      <c r="B9" s="153" t="s">
        <v>320</v>
      </c>
      <c r="C9" s="150" t="s">
        <v>246</v>
      </c>
      <c r="D9" s="152">
        <f>SUM(E9:K9)</f>
        <v>0</v>
      </c>
      <c r="E9" s="45"/>
      <c r="F9" s="45"/>
      <c r="G9" s="45"/>
      <c r="H9" s="45"/>
      <c r="I9" s="45"/>
      <c r="J9" s="45"/>
      <c r="K9" s="45"/>
      <c r="L9" s="45"/>
    </row>
    <row r="10" spans="1:12">
      <c r="A10" s="150" t="s">
        <v>264</v>
      </c>
      <c r="B10" s="154" t="s">
        <v>387</v>
      </c>
      <c r="C10" s="150" t="s">
        <v>7</v>
      </c>
      <c r="D10" s="155">
        <f>IF(D9=0,0,SUMPRODUCT(E9:K9,E10:K10)/D9)</f>
        <v>0</v>
      </c>
      <c r="E10" s="46"/>
      <c r="F10" s="46"/>
      <c r="G10" s="46"/>
      <c r="H10" s="46"/>
      <c r="I10" s="46"/>
      <c r="J10" s="46"/>
      <c r="K10" s="46"/>
      <c r="L10" s="46"/>
    </row>
    <row r="11" spans="1:12"/>
    <row r="12" spans="1:12">
      <c r="A12" s="848">
        <f>'ТИП-ПРОИЗ'!E6</f>
        <v>2015</v>
      </c>
      <c r="B12" s="848"/>
      <c r="C12" s="848"/>
      <c r="D12" s="849" t="s">
        <v>697</v>
      </c>
      <c r="E12" s="849"/>
      <c r="F12" s="849"/>
      <c r="G12" s="849"/>
      <c r="H12" s="849"/>
      <c r="I12" s="849"/>
      <c r="J12" s="849"/>
      <c r="K12" s="849"/>
      <c r="L12" s="849"/>
    </row>
    <row r="13" spans="1:12">
      <c r="A13" s="147">
        <v>1</v>
      </c>
      <c r="B13" s="148" t="s">
        <v>261</v>
      </c>
      <c r="C13" s="149" t="s">
        <v>389</v>
      </c>
      <c r="D13" s="107" t="s">
        <v>152</v>
      </c>
      <c r="E13" s="147" t="s">
        <v>165</v>
      </c>
      <c r="F13" s="147" t="s">
        <v>166</v>
      </c>
      <c r="G13" s="147" t="s">
        <v>167</v>
      </c>
      <c r="H13" s="147" t="s">
        <v>214</v>
      </c>
      <c r="I13" s="147" t="s">
        <v>215</v>
      </c>
      <c r="J13" s="147" t="s">
        <v>216</v>
      </c>
      <c r="K13" s="147" t="s">
        <v>390</v>
      </c>
      <c r="L13" s="147" t="s">
        <v>586</v>
      </c>
    </row>
    <row r="14" spans="1:12">
      <c r="A14" s="150" t="s">
        <v>262</v>
      </c>
      <c r="B14" s="153" t="s">
        <v>698</v>
      </c>
      <c r="C14" s="150" t="s">
        <v>699</v>
      </c>
      <c r="D14" s="511"/>
      <c r="E14" s="44"/>
      <c r="F14" s="44"/>
      <c r="G14" s="44"/>
      <c r="H14" s="44"/>
      <c r="I14" s="44"/>
      <c r="J14" s="44"/>
      <c r="K14" s="44"/>
      <c r="L14" s="44"/>
    </row>
    <row r="15" spans="1:12">
      <c r="A15" s="150" t="s">
        <v>263</v>
      </c>
      <c r="B15" s="153" t="s">
        <v>700</v>
      </c>
      <c r="C15" s="150" t="s">
        <v>70</v>
      </c>
      <c r="D15" s="152">
        <f>SUM(E15:K15)</f>
        <v>0</v>
      </c>
      <c r="E15" s="45"/>
      <c r="F15" s="45"/>
      <c r="G15" s="45"/>
      <c r="H15" s="45"/>
      <c r="I15" s="45"/>
      <c r="J15" s="45"/>
      <c r="K15" s="45"/>
      <c r="L15" s="45"/>
    </row>
    <row r="16" spans="1:12">
      <c r="A16" s="150" t="s">
        <v>264</v>
      </c>
      <c r="B16" s="154" t="s">
        <v>249</v>
      </c>
      <c r="C16" s="150" t="s">
        <v>7</v>
      </c>
      <c r="D16" s="155">
        <f>IF(D15=0,0,SUMPRODUCT(E15:K15,E16:K16)/D15)</f>
        <v>0</v>
      </c>
      <c r="E16" s="46"/>
      <c r="F16" s="46"/>
      <c r="G16" s="46"/>
      <c r="H16" s="46"/>
      <c r="I16" s="46"/>
      <c r="J16" s="46"/>
      <c r="K16" s="46"/>
      <c r="L16" s="46"/>
    </row>
    <row r="17" spans="1:12"/>
    <row r="18" spans="1:12" ht="12.75" customHeight="1">
      <c r="B18" s="850" t="s">
        <v>577</v>
      </c>
      <c r="C18" s="850"/>
      <c r="D18" s="850"/>
      <c r="E18" s="850"/>
      <c r="F18" s="850"/>
      <c r="G18" s="850"/>
      <c r="H18" s="850"/>
      <c r="I18" s="850"/>
      <c r="J18" s="850"/>
      <c r="K18" s="513"/>
      <c r="L18" s="513"/>
    </row>
    <row r="19" spans="1:12"/>
    <row r="20" spans="1:12">
      <c r="A20" s="851">
        <f>'ТИП-ПРОИЗ'!$B$5</f>
        <v>7.2016</v>
      </c>
      <c r="B20" s="851"/>
      <c r="C20" s="851"/>
      <c r="D20" s="849" t="s">
        <v>572</v>
      </c>
      <c r="E20" s="849"/>
      <c r="F20" s="849"/>
      <c r="G20" s="849"/>
      <c r="H20" s="849"/>
      <c r="I20" s="849"/>
      <c r="J20" s="849"/>
      <c r="K20" s="849"/>
      <c r="L20" s="849"/>
    </row>
    <row r="21" spans="1:12">
      <c r="A21" s="147">
        <v>2</v>
      </c>
      <c r="B21" s="148" t="s">
        <v>585</v>
      </c>
      <c r="C21" s="149" t="s">
        <v>389</v>
      </c>
      <c r="D21" s="107" t="s">
        <v>152</v>
      </c>
      <c r="E21" s="147" t="s">
        <v>578</v>
      </c>
      <c r="F21" s="147" t="s">
        <v>579</v>
      </c>
      <c r="G21" s="147" t="s">
        <v>580</v>
      </c>
      <c r="H21" s="147" t="s">
        <v>581</v>
      </c>
      <c r="I21" s="147" t="s">
        <v>582</v>
      </c>
      <c r="J21" s="147" t="s">
        <v>583</v>
      </c>
      <c r="K21" s="147" t="s">
        <v>584</v>
      </c>
      <c r="L21" s="147" t="s">
        <v>587</v>
      </c>
    </row>
    <row r="22" spans="1:12">
      <c r="A22" s="150" t="s">
        <v>278</v>
      </c>
      <c r="B22" s="151">
        <f>B8</f>
        <v>2015</v>
      </c>
      <c r="C22" s="150" t="s">
        <v>388</v>
      </c>
      <c r="D22" s="152">
        <f>SUM(E22:K22)</f>
        <v>0</v>
      </c>
      <c r="E22" s="56"/>
      <c r="F22" s="56"/>
      <c r="G22" s="56"/>
      <c r="H22" s="56"/>
      <c r="I22" s="56"/>
      <c r="J22" s="56"/>
      <c r="K22" s="56"/>
      <c r="L22" s="56"/>
    </row>
    <row r="23" spans="1:12">
      <c r="A23" s="150" t="s">
        <v>279</v>
      </c>
      <c r="B23" s="156" t="s">
        <v>573</v>
      </c>
      <c r="C23" s="150" t="s">
        <v>162</v>
      </c>
      <c r="D23" s="152">
        <f>SUM(E23:K23)</f>
        <v>0</v>
      </c>
      <c r="E23" s="56"/>
      <c r="F23" s="56"/>
      <c r="G23" s="56"/>
      <c r="H23" s="56"/>
      <c r="I23" s="56"/>
      <c r="J23" s="56"/>
      <c r="K23" s="56"/>
      <c r="L23" s="56"/>
    </row>
    <row r="24" spans="1:12">
      <c r="A24" s="150" t="s">
        <v>282</v>
      </c>
      <c r="B24" s="156" t="s">
        <v>574</v>
      </c>
      <c r="C24" s="150" t="s">
        <v>575</v>
      </c>
      <c r="D24" s="152"/>
      <c r="E24" s="56"/>
      <c r="F24" s="56"/>
      <c r="G24" s="56"/>
      <c r="H24" s="56"/>
      <c r="I24" s="56"/>
      <c r="J24" s="56"/>
      <c r="K24" s="56"/>
      <c r="L24" s="56"/>
    </row>
    <row r="25" spans="1:12">
      <c r="A25" s="150" t="s">
        <v>280</v>
      </c>
      <c r="B25" s="153" t="s">
        <v>320</v>
      </c>
      <c r="C25" s="150" t="s">
        <v>246</v>
      </c>
      <c r="D25" s="152">
        <f>SUM(E25:K25)</f>
        <v>0</v>
      </c>
      <c r="E25" s="45"/>
      <c r="F25" s="45"/>
      <c r="G25" s="45"/>
      <c r="H25" s="45"/>
      <c r="I25" s="45"/>
      <c r="J25" s="45"/>
      <c r="K25" s="45"/>
      <c r="L25" s="45"/>
    </row>
    <row r="26" spans="1:12">
      <c r="A26" s="150" t="s">
        <v>281</v>
      </c>
      <c r="B26" s="154" t="s">
        <v>387</v>
      </c>
      <c r="C26" s="150" t="s">
        <v>7</v>
      </c>
      <c r="D26" s="155">
        <f>IF(D25=0,0,SUMPRODUCT(E25:K25,E26:K26)/D25)</f>
        <v>0</v>
      </c>
      <c r="E26" s="46"/>
      <c r="F26" s="46"/>
      <c r="G26" s="46"/>
      <c r="H26" s="46"/>
      <c r="I26" s="46"/>
      <c r="J26" s="46"/>
      <c r="K26" s="46"/>
      <c r="L26" s="46"/>
    </row>
    <row r="27" spans="1:12"/>
    <row r="28" spans="1:12">
      <c r="A28" s="848">
        <f>A12</f>
        <v>2015</v>
      </c>
      <c r="B28" s="848"/>
      <c r="C28" s="848"/>
      <c r="D28" s="849" t="s">
        <v>701</v>
      </c>
      <c r="E28" s="849"/>
      <c r="F28" s="849"/>
      <c r="G28" s="849"/>
      <c r="H28" s="849"/>
      <c r="I28" s="849"/>
      <c r="J28" s="849"/>
      <c r="K28" s="849"/>
      <c r="L28" s="849"/>
    </row>
    <row r="29" spans="1:12">
      <c r="A29" s="147">
        <v>2</v>
      </c>
      <c r="B29" s="148" t="s">
        <v>585</v>
      </c>
      <c r="C29" s="149" t="s">
        <v>389</v>
      </c>
      <c r="D29" s="107" t="s">
        <v>152</v>
      </c>
      <c r="E29" s="147" t="s">
        <v>578</v>
      </c>
      <c r="F29" s="147" t="s">
        <v>579</v>
      </c>
      <c r="G29" s="147" t="s">
        <v>580</v>
      </c>
      <c r="H29" s="147" t="s">
        <v>581</v>
      </c>
      <c r="I29" s="147" t="s">
        <v>582</v>
      </c>
      <c r="J29" s="147" t="s">
        <v>583</v>
      </c>
      <c r="K29" s="147" t="s">
        <v>584</v>
      </c>
      <c r="L29" s="147" t="s">
        <v>587</v>
      </c>
    </row>
    <row r="30" spans="1:12">
      <c r="A30" s="150" t="s">
        <v>278</v>
      </c>
      <c r="B30" s="153" t="s">
        <v>698</v>
      </c>
      <c r="C30" s="150" t="s">
        <v>699</v>
      </c>
      <c r="D30" s="511"/>
      <c r="E30" s="44"/>
      <c r="F30" s="44"/>
      <c r="G30" s="44"/>
      <c r="H30" s="44"/>
      <c r="I30" s="44"/>
      <c r="J30" s="44"/>
      <c r="K30" s="44"/>
      <c r="L30" s="44"/>
    </row>
    <row r="31" spans="1:12">
      <c r="A31" s="150" t="s">
        <v>279</v>
      </c>
      <c r="B31" s="156" t="s">
        <v>704</v>
      </c>
      <c r="C31" s="150" t="s">
        <v>23</v>
      </c>
      <c r="D31" s="152">
        <f>SUM(E31:K31)</f>
        <v>0</v>
      </c>
      <c r="E31" s="44"/>
      <c r="F31" s="44"/>
      <c r="G31" s="44"/>
      <c r="H31" s="44"/>
      <c r="I31" s="44"/>
      <c r="J31" s="44"/>
      <c r="K31" s="44"/>
      <c r="L31" s="44"/>
    </row>
    <row r="32" spans="1:12">
      <c r="A32" s="150" t="s">
        <v>282</v>
      </c>
      <c r="B32" s="156" t="s">
        <v>705</v>
      </c>
      <c r="C32" s="150" t="s">
        <v>162</v>
      </c>
      <c r="D32" s="152">
        <f>IF(D30=0,0,D31/D30)</f>
        <v>0</v>
      </c>
      <c r="E32" s="152">
        <f t="shared" ref="E32:L32" si="0">IF(E30=0,0,E31/E30)</f>
        <v>0</v>
      </c>
      <c r="F32" s="152">
        <f t="shared" si="0"/>
        <v>0</v>
      </c>
      <c r="G32" s="152">
        <f t="shared" si="0"/>
        <v>0</v>
      </c>
      <c r="H32" s="152">
        <f t="shared" si="0"/>
        <v>0</v>
      </c>
      <c r="I32" s="152">
        <f t="shared" si="0"/>
        <v>0</v>
      </c>
      <c r="J32" s="152">
        <f t="shared" si="0"/>
        <v>0</v>
      </c>
      <c r="K32" s="152">
        <f t="shared" si="0"/>
        <v>0</v>
      </c>
      <c r="L32" s="152">
        <f t="shared" si="0"/>
        <v>0</v>
      </c>
    </row>
    <row r="33" spans="1:12">
      <c r="A33" s="150" t="s">
        <v>280</v>
      </c>
      <c r="B33" s="156" t="s">
        <v>703</v>
      </c>
      <c r="C33" s="150" t="s">
        <v>575</v>
      </c>
      <c r="D33" s="152"/>
      <c r="E33" s="56"/>
      <c r="F33" s="56"/>
      <c r="G33" s="56"/>
      <c r="H33" s="56"/>
      <c r="I33" s="56"/>
      <c r="J33" s="56"/>
      <c r="K33" s="56"/>
      <c r="L33" s="56"/>
    </row>
    <row r="34" spans="1:12">
      <c r="A34" s="150" t="s">
        <v>281</v>
      </c>
      <c r="B34" s="153" t="s">
        <v>700</v>
      </c>
      <c r="C34" s="150" t="s">
        <v>70</v>
      </c>
      <c r="D34" s="152">
        <f>SUM(E34:K34)</f>
        <v>0</v>
      </c>
      <c r="E34" s="45"/>
      <c r="F34" s="45"/>
      <c r="G34" s="45"/>
      <c r="H34" s="45"/>
      <c r="I34" s="45"/>
      <c r="J34" s="45"/>
      <c r="K34" s="45"/>
      <c r="L34" s="45"/>
    </row>
    <row r="35" spans="1:12">
      <c r="A35" s="150" t="s">
        <v>702</v>
      </c>
      <c r="B35" s="154" t="s">
        <v>249</v>
      </c>
      <c r="C35" s="150" t="s">
        <v>7</v>
      </c>
      <c r="D35" s="155">
        <f>IF(D34=0,0,SUMPRODUCT(E34:K34,E35:K35)/D34)</f>
        <v>0</v>
      </c>
      <c r="E35" s="46"/>
      <c r="F35" s="46"/>
      <c r="G35" s="46"/>
      <c r="H35" s="46"/>
      <c r="I35" s="46"/>
      <c r="J35" s="46"/>
      <c r="K35" s="46"/>
      <c r="L35" s="46"/>
    </row>
    <row r="36" spans="1:12"/>
    <row r="37" spans="1:12" ht="15.75">
      <c r="B37" s="154" t="s">
        <v>706</v>
      </c>
      <c r="C37" s="150" t="s">
        <v>7</v>
      </c>
      <c r="D37" s="155">
        <f>IF(SUM(D15,D34)=0,0,SUM(D15*D16,D34*D35)/SUM(D15,D34))</f>
        <v>0</v>
      </c>
      <c r="E37" s="512">
        <f>SUM(D37,-F37)</f>
        <v>0</v>
      </c>
      <c r="F37" s="508">
        <f>'ТИП-ПРОИЗ'!E57</f>
        <v>0</v>
      </c>
    </row>
    <row r="38" spans="1:12"/>
    <row r="39" spans="1:12"/>
    <row r="40" spans="1:12">
      <c r="B40" s="138" t="str">
        <f>'[2]Разходи-Произв.'!$A$79</f>
        <v>Гл. счетоводител:</v>
      </c>
      <c r="G40" s="139" t="str">
        <f>'[2]Разходи-Произв.'!$E$79</f>
        <v>Изп. директор:</v>
      </c>
      <c r="I40" s="140"/>
      <c r="J40" s="140"/>
    </row>
    <row r="41" spans="1:12">
      <c r="A41" s="137"/>
      <c r="C41" s="141" t="str">
        <f>Разходи!$B$93</f>
        <v>Гл.счетоводител/ М.Тодорова /</v>
      </c>
      <c r="G41" s="140"/>
      <c r="H41" s="142" t="str">
        <f>Разходи!$F$93</f>
        <v>Изп.директор /Т.Йорданов/</v>
      </c>
      <c r="I41" s="142"/>
      <c r="J41" s="142"/>
    </row>
    <row r="42" spans="1:12"/>
    <row r="43" spans="1:12" hidden="1"/>
    <row r="44" spans="1:12" hidden="1"/>
    <row r="45" spans="1:12" hidden="1"/>
    <row r="46" spans="1:12" hidden="1"/>
    <row r="47" spans="1:12" hidden="1"/>
    <row r="48" spans="1:12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t="12.75" hidden="1" customHeight="1"/>
    <row r="100" ht="12.75" hidden="1" customHeight="1"/>
    <row r="101" ht="12.75" hidden="1" customHeight="1"/>
    <row r="102" ht="12.75" hidden="1" customHeight="1"/>
    <row r="103" ht="12.75" hidden="1" customHeight="1"/>
    <row r="104" ht="12.75" hidden="1" customHeight="1"/>
    <row r="105" ht="12.75" hidden="1" customHeight="1"/>
    <row r="106" ht="12.75" hidden="1" customHeight="1"/>
    <row r="107" ht="12.75" hidden="1" customHeight="1"/>
    <row r="108" ht="12.75" hidden="1" customHeight="1"/>
    <row r="109" ht="12.75" hidden="1" customHeight="1"/>
    <row r="110" ht="12.75" hidden="1" customHeight="1"/>
    <row r="111" ht="12.75" hidden="1" customHeight="1"/>
    <row r="112" ht="12.75" hidden="1" customHeight="1"/>
    <row r="113" ht="12.75" hidden="1" customHeight="1"/>
    <row r="114" ht="12.75" hidden="1" customHeight="1"/>
    <row r="115" ht="12.75" hidden="1" customHeight="1"/>
    <row r="116" ht="12.75" hidden="1" customHeight="1"/>
    <row r="117" ht="12.75" hidden="1" customHeight="1"/>
    <row r="118" ht="12.75" hidden="1" customHeight="1"/>
    <row r="119" ht="12.75" hidden="1" customHeight="1"/>
    <row r="120" ht="12.75" hidden="1" customHeight="1"/>
    <row r="121" ht="12.75" hidden="1" customHeight="1"/>
    <row r="122" ht="12.75" hidden="1" customHeight="1"/>
    <row r="123" ht="12.75" hidden="1" customHeight="1"/>
    <row r="124" ht="12.75" hidden="1" customHeight="1"/>
    <row r="125" ht="12.75" hidden="1" customHeight="1"/>
    <row r="126" ht="12.75" hidden="1" customHeight="1"/>
    <row r="127" ht="12.75" hidden="1" customHeight="1"/>
    <row r="128" ht="12.75" hidden="1" customHeight="1"/>
    <row r="129" ht="12.75" hidden="1" customHeight="1"/>
    <row r="130" ht="12.75" hidden="1" customHeight="1"/>
    <row r="131" ht="12.75" hidden="1" customHeight="1"/>
    <row r="132" ht="12.75" hidden="1" customHeight="1"/>
    <row r="133" ht="12.75" hidden="1" customHeight="1"/>
    <row r="134" ht="12.75" hidden="1" customHeight="1"/>
    <row r="135" ht="12.75" hidden="1" customHeight="1"/>
    <row r="136" ht="12.75" hidden="1" customHeight="1"/>
    <row r="137" ht="12.75" hidden="1" customHeight="1"/>
    <row r="138" ht="12.75" hidden="1" customHeight="1"/>
    <row r="139" ht="12.75" hidden="1" customHeight="1"/>
    <row r="140" ht="12.75" hidden="1" customHeight="1"/>
    <row r="141" ht="12.75" hidden="1" customHeight="1"/>
    <row r="142" ht="12.75" hidden="1" customHeight="1"/>
    <row r="143" ht="12.75" hidden="1" customHeight="1"/>
    <row r="144" ht="12.75" hidden="1" customHeight="1"/>
    <row r="145" ht="12.75" hidden="1" customHeight="1"/>
    <row r="146" ht="12.75" hidden="1" customHeight="1"/>
    <row r="147" ht="12.75" hidden="1" customHeight="1"/>
    <row r="148" ht="12.75" hidden="1" customHeight="1"/>
    <row r="149" ht="12.75" hidden="1" customHeight="1"/>
    <row r="150" ht="12.75" hidden="1" customHeight="1"/>
    <row r="151" ht="12.75" hidden="1" customHeight="1"/>
    <row r="152" ht="12.75" hidden="1" customHeight="1"/>
    <row r="153" ht="12.75" hidden="1" customHeight="1"/>
    <row r="154" ht="12.75" hidden="1" customHeight="1"/>
    <row r="155" ht="12.75" hidden="1" customHeight="1"/>
    <row r="156" ht="12.75" hidden="1" customHeight="1"/>
    <row r="157" ht="12.75" hidden="1" customHeight="1"/>
    <row r="158" ht="12.75" hidden="1" customHeight="1"/>
    <row r="159" ht="12.75" hidden="1" customHeight="1"/>
    <row r="160" ht="12.75" hidden="1" customHeight="1"/>
    <row r="161" ht="12.75" hidden="1" customHeight="1"/>
    <row r="162" ht="12.75" hidden="1" customHeight="1"/>
    <row r="163" ht="12.75" hidden="1" customHeight="1"/>
    <row r="164" ht="12.75" hidden="1" customHeight="1"/>
    <row r="165" ht="12.75" hidden="1" customHeight="1"/>
    <row r="166" ht="12.75" hidden="1" customHeight="1"/>
    <row r="167" ht="12.75" hidden="1" customHeight="1"/>
    <row r="168" ht="12.75" hidden="1" customHeight="1"/>
    <row r="169" ht="12.75" hidden="1" customHeight="1"/>
    <row r="170" ht="12.75" hidden="1" customHeight="1"/>
    <row r="171" ht="12.75" hidden="1" customHeight="1"/>
    <row r="172" ht="12.75" hidden="1" customHeight="1"/>
    <row r="173" ht="12.75" hidden="1" customHeight="1"/>
    <row r="174" ht="12.75" hidden="1" customHeight="1"/>
    <row r="175" ht="12.75" hidden="1" customHeight="1"/>
    <row r="176" ht="12.75" hidden="1" customHeight="1"/>
    <row r="177" ht="12.75" hidden="1" customHeight="1"/>
    <row r="178" ht="12.75" hidden="1" customHeight="1"/>
    <row r="179" ht="12.75" hidden="1" customHeight="1"/>
    <row r="180" ht="12.75" hidden="1" customHeight="1"/>
    <row r="181" ht="12.75" hidden="1" customHeight="1"/>
    <row r="182" ht="12.75" hidden="1" customHeight="1"/>
    <row r="183" ht="12.75" hidden="1" customHeight="1"/>
    <row r="184" ht="12.75" hidden="1" customHeight="1"/>
    <row r="185" ht="12.75" hidden="1" customHeight="1"/>
    <row r="186" ht="12.75" hidden="1" customHeight="1"/>
    <row r="187" ht="12.75" hidden="1" customHeight="1"/>
    <row r="188" ht="12.75" hidden="1" customHeight="1"/>
    <row r="189" ht="12.75" hidden="1" customHeight="1"/>
    <row r="190" ht="12.75" hidden="1" customHeight="1"/>
    <row r="191" ht="12.75" hidden="1" customHeight="1"/>
    <row r="192" ht="12.75" hidden="1" customHeight="1"/>
    <row r="193" ht="12.75" hidden="1" customHeight="1"/>
    <row r="194" ht="12.75" hidden="1" customHeight="1"/>
    <row r="195" ht="12.75" hidden="1" customHeight="1"/>
    <row r="196" ht="12.75" hidden="1" customHeight="1"/>
    <row r="197" ht="12.75" hidden="1" customHeight="1"/>
    <row r="198" ht="12.75" hidden="1" customHeight="1"/>
    <row r="199" ht="12.75" hidden="1" customHeight="1"/>
    <row r="200" ht="12.75" hidden="1" customHeight="1"/>
    <row r="201" ht="12.75" hidden="1" customHeight="1"/>
    <row r="202" ht="12.75" hidden="1" customHeight="1"/>
    <row r="203" ht="12.75" hidden="1" customHeight="1"/>
    <row r="204" ht="12.75" hidden="1" customHeight="1"/>
    <row r="205" ht="12.75" hidden="1" customHeight="1"/>
    <row r="206" ht="12.75" hidden="1" customHeight="1"/>
    <row r="207" ht="12.75" hidden="1" customHeight="1"/>
    <row r="208" ht="12.75" hidden="1" customHeight="1"/>
    <row r="209" ht="12.75" hidden="1" customHeight="1"/>
    <row r="210" ht="12.75" hidden="1" customHeight="1"/>
    <row r="211" ht="12.75" hidden="1" customHeight="1"/>
    <row r="212" ht="12.75" hidden="1" customHeight="1"/>
    <row r="213" ht="12.75" hidden="1" customHeight="1"/>
    <row r="214" ht="12.75" hidden="1" customHeight="1"/>
  </sheetData>
  <mergeCells count="12">
    <mergeCell ref="A28:C28"/>
    <mergeCell ref="D28:L28"/>
    <mergeCell ref="B2:J2"/>
    <mergeCell ref="B1:J1"/>
    <mergeCell ref="B4:J4"/>
    <mergeCell ref="B18:J18"/>
    <mergeCell ref="A20:C20"/>
    <mergeCell ref="D20:L20"/>
    <mergeCell ref="D6:L6"/>
    <mergeCell ref="A6:C6"/>
    <mergeCell ref="A12:C12"/>
    <mergeCell ref="D12:L12"/>
  </mergeCells>
  <printOptions horizontalCentered="1"/>
  <pageMargins left="0.51181102362204722" right="0.51181102362204722" top="0.94488188976377963" bottom="0.35433070866141736" header="0.11811023622047245" footer="0.11811023622047245"/>
  <pageSetup orientation="landscape" blackAndWhite="1" r:id="rId1"/>
  <ignoredErrors>
    <ignoredError sqref="D8:D9 D25 D22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10</vt:i4>
      </vt:variant>
      <vt:variant>
        <vt:lpstr>Наименувани диапазони</vt:lpstr>
      </vt:variant>
      <vt:variant>
        <vt:i4>13</vt:i4>
      </vt:variant>
    </vt:vector>
  </HeadingPairs>
  <TitlesOfParts>
    <vt:vector size="23" baseType="lpstr">
      <vt:lpstr>НАЧАЛО</vt:lpstr>
      <vt:lpstr>Разходи</vt:lpstr>
      <vt:lpstr>РБА</vt:lpstr>
      <vt:lpstr>НВ</vt:lpstr>
      <vt:lpstr>ТИП-ПРОИЗ</vt:lpstr>
      <vt:lpstr>ТИП-ПРЕНОС</vt:lpstr>
      <vt:lpstr>Коефициенти</vt:lpstr>
      <vt:lpstr>ИКП</vt:lpstr>
      <vt:lpstr>ВК§ППК</vt:lpstr>
      <vt:lpstr>Спецификация</vt:lpstr>
      <vt:lpstr>ВК§ППК!Print_Area</vt:lpstr>
      <vt:lpstr>ИКП!Print_Area</vt:lpstr>
      <vt:lpstr>Коефициенти!Print_Area</vt:lpstr>
      <vt:lpstr>НВ!Print_Area</vt:lpstr>
      <vt:lpstr>Разходи!Print_Area</vt:lpstr>
      <vt:lpstr>РБА!Print_Area</vt:lpstr>
      <vt:lpstr>Спецификация!Print_Area</vt:lpstr>
      <vt:lpstr>'ТИП-ПРЕНОС'!Print_Area</vt:lpstr>
      <vt:lpstr>'ТИП-ПРОИЗ'!Print_Area</vt:lpstr>
      <vt:lpstr>Спецификация!Print_Titles</vt:lpstr>
      <vt:lpstr>'ТИП-ПРОИЗ'!Print_Titles</vt:lpstr>
      <vt:lpstr>а65536</vt:lpstr>
      <vt:lpstr>ь65536</vt:lpstr>
    </vt:vector>
  </TitlesOfParts>
  <Company>DKER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dk-vlozanov</dc:creator>
  <cp:lastModifiedBy>user</cp:lastModifiedBy>
  <cp:lastPrinted>2016-04-01T08:23:34Z</cp:lastPrinted>
  <dcterms:created xsi:type="dcterms:W3CDTF">2002-07-02T13:08:08Z</dcterms:created>
  <dcterms:modified xsi:type="dcterms:W3CDTF">2016-04-01T08:45:53Z</dcterms:modified>
</cp:coreProperties>
</file>